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P\Downloads\КФПСЭ\рейтинг атлета\рейтинг 2023\"/>
    </mc:Choice>
  </mc:AlternateContent>
  <xr:revisionPtr revIDLastSave="0" documentId="13_ncr:1_{D7BD9DC2-C9DE-4E03-9102-9AD65ADE96A8}" xr6:coauthVersionLast="37" xr6:coauthVersionMax="37" xr10:uidLastSave="{00000000-0000-0000-0000-000000000000}"/>
  <bookViews>
    <workbookView xWindow="0" yWindow="0" windowWidth="28800" windowHeight="12225" activeTab="5" xr2:uid="{00000000-000D-0000-FFFF-FFFF00000000}"/>
  </bookViews>
  <sheets>
    <sheet name="инфо" sheetId="7" r:id="rId1"/>
    <sheet name="Senior Women 40-49" sheetId="12" r:id="rId2"/>
    <sheet name="Senior Women 30-39" sheetId="11" r:id="rId3"/>
    <sheet name="Senior Women 18-29" sheetId="5" r:id="rId4"/>
    <sheet name="Senior Men 18-39 " sheetId="6" r:id="rId5"/>
    <sheet name="Junior 15-17" sheetId="4" r:id="rId6"/>
    <sheet name="Novice 10-14" sheetId="1" r:id="rId7"/>
    <sheet name="Pre-Novice 5-9 " sheetId="8" r:id="rId8"/>
  </sheets>
  <definedNames>
    <definedName name="_xlnm._FilterDatabase" localSheetId="5" hidden="1">'Junior 15-17'!$A$1:$O$1</definedName>
    <definedName name="_xlnm._FilterDatabase" localSheetId="6" hidden="1">'Novice 10-14'!$A$1:$O$1</definedName>
    <definedName name="_xlnm._FilterDatabase" localSheetId="7" hidden="1">'Pre-Novice 5-9 '!$A$1:$O$1</definedName>
    <definedName name="_xlnm._FilterDatabase" localSheetId="4" hidden="1">'Senior Men 18-39 '!$A$1:$O$1</definedName>
    <definedName name="_xlnm._FilterDatabase" localSheetId="3" hidden="1">'Senior Women 18-29'!$A$1:$O$1</definedName>
    <definedName name="_xlnm._FilterDatabase" localSheetId="2" hidden="1">'Senior Women 30-39'!$A$1:$O$1</definedName>
    <definedName name="_xlnm._FilterDatabase" localSheetId="1" hidden="1">'Senior Women 40-49'!$A$1:$O$1</definedName>
  </definedNames>
  <calcPr calcId="179021"/>
</workbook>
</file>

<file path=xl/calcChain.xml><?xml version="1.0" encoding="utf-8"?>
<calcChain xmlns="http://schemas.openxmlformats.org/spreadsheetml/2006/main">
  <c r="H7" i="5" l="1"/>
  <c r="G7" i="5"/>
  <c r="F7" i="5"/>
  <c r="H14" i="1" l="1"/>
  <c r="F12" i="8"/>
  <c r="H12" i="8"/>
  <c r="G12" i="8"/>
  <c r="H4" i="1"/>
  <c r="G4" i="1"/>
  <c r="F4" i="1"/>
  <c r="H8" i="8"/>
  <c r="G8" i="8"/>
  <c r="F8" i="8"/>
  <c r="H5" i="1" l="1"/>
  <c r="G5" i="1"/>
  <c r="F5" i="1"/>
  <c r="I5" i="1" s="1"/>
  <c r="I130" i="1" l="1"/>
  <c r="H33" i="8"/>
  <c r="G33" i="8"/>
  <c r="F33" i="8"/>
  <c r="G75" i="1"/>
  <c r="H75" i="1"/>
  <c r="F75" i="1"/>
  <c r="H60" i="1"/>
  <c r="G60" i="1"/>
  <c r="F60" i="1"/>
  <c r="H37" i="1"/>
  <c r="G37" i="1"/>
  <c r="F37" i="1"/>
  <c r="H26" i="4"/>
  <c r="G26" i="4"/>
  <c r="F26" i="4"/>
  <c r="H129" i="1"/>
  <c r="G129" i="1"/>
  <c r="F129" i="1"/>
  <c r="H53" i="1"/>
  <c r="G53" i="1"/>
  <c r="F53" i="1"/>
  <c r="H10" i="1"/>
  <c r="G10" i="1"/>
  <c r="F10" i="1"/>
  <c r="H12" i="5"/>
  <c r="G12" i="5"/>
  <c r="F12" i="5"/>
  <c r="I26" i="4" l="1"/>
  <c r="I129" i="1"/>
  <c r="I53" i="1"/>
  <c r="H3" i="12"/>
  <c r="H2" i="5"/>
  <c r="H4" i="6"/>
  <c r="H10" i="4"/>
  <c r="H2" i="12"/>
  <c r="H2" i="6"/>
  <c r="H3" i="5"/>
  <c r="G3" i="5"/>
  <c r="F3" i="5"/>
  <c r="H3" i="6"/>
  <c r="H3" i="4"/>
  <c r="H2" i="4"/>
  <c r="G2" i="4"/>
  <c r="F2" i="4"/>
  <c r="G3" i="4"/>
  <c r="F3" i="4"/>
  <c r="H5" i="4"/>
  <c r="G5" i="4"/>
  <c r="F5" i="4"/>
  <c r="H7" i="1"/>
  <c r="H11" i="4" l="1"/>
  <c r="G11" i="4"/>
  <c r="F11" i="4"/>
  <c r="G2" i="12"/>
  <c r="F2" i="12"/>
  <c r="G10" i="4"/>
  <c r="F10" i="4"/>
  <c r="G2" i="6"/>
  <c r="F2" i="6"/>
  <c r="G2" i="5"/>
  <c r="F2" i="5"/>
  <c r="G3" i="6"/>
  <c r="F3" i="6"/>
  <c r="G7" i="1"/>
  <c r="F7" i="1"/>
  <c r="H22" i="1"/>
  <c r="G22" i="1"/>
  <c r="F22" i="1"/>
  <c r="H78" i="1"/>
  <c r="G78" i="1"/>
  <c r="F78" i="1"/>
  <c r="H18" i="4"/>
  <c r="G18" i="4"/>
  <c r="F18" i="4"/>
  <c r="H6" i="11"/>
  <c r="G6" i="11"/>
  <c r="F6" i="11"/>
  <c r="H10" i="5"/>
  <c r="G10" i="5"/>
  <c r="F10" i="5"/>
  <c r="G17" i="5"/>
  <c r="H17" i="5"/>
  <c r="F17" i="5"/>
  <c r="G9" i="11"/>
  <c r="H9" i="11"/>
  <c r="F9" i="11"/>
  <c r="H12" i="4"/>
  <c r="G12" i="4"/>
  <c r="F12" i="4"/>
  <c r="H16" i="4"/>
  <c r="G16" i="4"/>
  <c r="F16" i="4"/>
  <c r="H31" i="4"/>
  <c r="G31" i="4"/>
  <c r="F31" i="4"/>
  <c r="H18" i="1"/>
  <c r="H52" i="1"/>
  <c r="H36" i="1"/>
  <c r="G36" i="1"/>
  <c r="F36" i="1"/>
  <c r="H69" i="1"/>
  <c r="G69" i="1"/>
  <c r="F69" i="1"/>
  <c r="H66" i="1"/>
  <c r="G66" i="1"/>
  <c r="F66" i="1"/>
  <c r="H128" i="1"/>
  <c r="I128" i="1" s="1"/>
  <c r="H98" i="1"/>
  <c r="H99" i="1"/>
  <c r="H49" i="1"/>
  <c r="G49" i="1"/>
  <c r="F49" i="1"/>
  <c r="H19" i="1"/>
  <c r="G19" i="1"/>
  <c r="F19" i="1"/>
  <c r="H41" i="1"/>
  <c r="G41" i="1"/>
  <c r="F41" i="1"/>
  <c r="H10" i="8"/>
  <c r="G10" i="8"/>
  <c r="F10" i="8"/>
  <c r="H5" i="11"/>
  <c r="G5" i="11"/>
  <c r="F5" i="11"/>
  <c r="H11" i="5"/>
  <c r="G11" i="5"/>
  <c r="F11" i="5"/>
  <c r="H5" i="5"/>
  <c r="G5" i="5"/>
  <c r="F5" i="5"/>
  <c r="H4" i="5"/>
  <c r="G4" i="5"/>
  <c r="F4" i="5"/>
  <c r="H9" i="5"/>
  <c r="G9" i="5"/>
  <c r="F9" i="5"/>
  <c r="H8" i="5"/>
  <c r="G8" i="5"/>
  <c r="F8" i="5"/>
  <c r="H9" i="4"/>
  <c r="H2" i="1"/>
  <c r="G2" i="1"/>
  <c r="F2" i="1"/>
  <c r="H3" i="1"/>
  <c r="G3" i="1"/>
  <c r="F3" i="1"/>
  <c r="H8" i="1"/>
  <c r="G8" i="1"/>
  <c r="F8" i="1"/>
  <c r="H6" i="1"/>
  <c r="G6" i="1"/>
  <c r="F6" i="1"/>
  <c r="H9" i="1"/>
  <c r="G9" i="1"/>
  <c r="F9" i="1"/>
  <c r="H4" i="4"/>
  <c r="G4" i="4"/>
  <c r="F4" i="4"/>
  <c r="H15" i="1"/>
  <c r="G15" i="1"/>
  <c r="F15" i="1"/>
  <c r="H13" i="1"/>
  <c r="G13" i="1"/>
  <c r="F13" i="1"/>
  <c r="H8" i="4"/>
  <c r="G8" i="4"/>
  <c r="F8" i="4"/>
  <c r="G46" i="1"/>
  <c r="H46" i="1"/>
  <c r="F46" i="1"/>
  <c r="H7" i="4"/>
  <c r="G7" i="4"/>
  <c r="F7" i="4"/>
  <c r="H21" i="8"/>
  <c r="G21" i="8"/>
  <c r="F21" i="8"/>
  <c r="H65" i="1"/>
  <c r="G65" i="1"/>
  <c r="F65" i="1"/>
  <c r="H6" i="4"/>
  <c r="G6" i="4"/>
  <c r="F6" i="4"/>
  <c r="H20" i="1"/>
  <c r="G20" i="1"/>
  <c r="F20" i="1"/>
  <c r="H32" i="1"/>
  <c r="G32" i="1"/>
  <c r="F32" i="1"/>
  <c r="H16" i="8"/>
  <c r="G16" i="8"/>
  <c r="F16" i="8"/>
  <c r="H9" i="8"/>
  <c r="G9" i="8"/>
  <c r="F9" i="8"/>
  <c r="H3" i="8"/>
  <c r="G3" i="8"/>
  <c r="F3" i="8"/>
  <c r="H2" i="8"/>
  <c r="G2" i="8"/>
  <c r="F2" i="8"/>
  <c r="H6" i="8"/>
  <c r="G6" i="8"/>
  <c r="F6" i="8"/>
  <c r="H5" i="8"/>
  <c r="G5" i="8"/>
  <c r="F5" i="8"/>
  <c r="H4" i="12"/>
  <c r="G4" i="12"/>
  <c r="F4" i="12"/>
  <c r="H7" i="11"/>
  <c r="G7" i="11"/>
  <c r="F7" i="11"/>
  <c r="H2" i="11"/>
  <c r="G2" i="11"/>
  <c r="F2" i="11"/>
  <c r="H4" i="11"/>
  <c r="G4" i="11"/>
  <c r="F4" i="11"/>
  <c r="H3" i="11"/>
  <c r="G3" i="11"/>
  <c r="F3" i="11"/>
  <c r="H6" i="5"/>
  <c r="G6" i="5"/>
  <c r="F6" i="5"/>
  <c r="H16" i="5"/>
  <c r="G16" i="5"/>
  <c r="F16" i="5"/>
  <c r="H15" i="5"/>
  <c r="G15" i="5"/>
  <c r="F15" i="5"/>
  <c r="H22" i="4"/>
  <c r="G22" i="4"/>
  <c r="F22" i="4"/>
  <c r="H20" i="4"/>
  <c r="G20" i="4"/>
  <c r="F20" i="4"/>
  <c r="H13" i="4"/>
  <c r="G13" i="4"/>
  <c r="F13" i="4"/>
  <c r="H14" i="4"/>
  <c r="H17" i="4"/>
  <c r="H25" i="4"/>
  <c r="G25" i="4"/>
  <c r="F25" i="4"/>
  <c r="H30" i="4"/>
  <c r="G30" i="4"/>
  <c r="F30" i="4"/>
  <c r="H28" i="4"/>
  <c r="G28" i="4"/>
  <c r="F28" i="4"/>
  <c r="H42" i="1"/>
  <c r="H68" i="1"/>
  <c r="H97" i="1"/>
  <c r="H27" i="1"/>
  <c r="G27" i="1"/>
  <c r="F27" i="1"/>
  <c r="H21" i="1"/>
  <c r="G21" i="1"/>
  <c r="F21" i="1"/>
  <c r="H45" i="1"/>
  <c r="H30" i="1"/>
  <c r="H100" i="1"/>
  <c r="G14" i="1"/>
  <c r="F14" i="1"/>
  <c r="H28" i="1"/>
  <c r="G28" i="1"/>
  <c r="F28" i="1"/>
  <c r="H26" i="1"/>
  <c r="G26" i="1"/>
  <c r="F26" i="1"/>
  <c r="H127" i="1"/>
  <c r="I127" i="1" s="1"/>
  <c r="H58" i="1"/>
  <c r="I122" i="1"/>
  <c r="H17" i="1"/>
  <c r="G17" i="1"/>
  <c r="F17" i="1"/>
  <c r="H31" i="1"/>
  <c r="G31" i="1"/>
  <c r="F31" i="1"/>
  <c r="H48" i="1"/>
  <c r="H51" i="1"/>
  <c r="H16" i="1"/>
  <c r="G16" i="1"/>
  <c r="F16" i="1"/>
  <c r="H33" i="1"/>
  <c r="G33" i="1"/>
  <c r="F33" i="1"/>
  <c r="H102" i="1"/>
  <c r="H101" i="1"/>
  <c r="H90" i="1"/>
  <c r="H11" i="1"/>
  <c r="G11" i="1"/>
  <c r="F11" i="1"/>
  <c r="H50" i="1"/>
  <c r="G50" i="1"/>
  <c r="F50" i="1"/>
  <c r="H126" i="1"/>
  <c r="I126" i="1" s="1"/>
  <c r="H125" i="1"/>
  <c r="I125" i="1" s="1"/>
  <c r="H92" i="1"/>
  <c r="H39" i="1"/>
  <c r="G39" i="1"/>
  <c r="F39" i="1"/>
  <c r="H12" i="1"/>
  <c r="G12" i="1"/>
  <c r="F12" i="1"/>
  <c r="H124" i="1"/>
  <c r="I124" i="1" s="1"/>
  <c r="H123" i="1"/>
  <c r="I123" i="1" s="1"/>
  <c r="H72" i="1"/>
  <c r="G72" i="1"/>
  <c r="F72" i="1"/>
  <c r="H73" i="1"/>
  <c r="G73" i="1"/>
  <c r="F73" i="1"/>
  <c r="H38" i="1"/>
  <c r="G38" i="1"/>
  <c r="F38" i="1"/>
  <c r="H62" i="1"/>
  <c r="F62" i="1"/>
  <c r="G62" i="1"/>
  <c r="H59" i="1"/>
  <c r="H25" i="1"/>
  <c r="G25" i="1"/>
  <c r="F25" i="1"/>
  <c r="G59" i="1"/>
  <c r="F59" i="1"/>
  <c r="H91" i="1"/>
  <c r="H74" i="1"/>
  <c r="G74" i="1"/>
  <c r="F74" i="1"/>
  <c r="H40" i="1"/>
  <c r="G40" i="1"/>
  <c r="F40" i="1"/>
  <c r="H29" i="1"/>
  <c r="G29" i="1"/>
  <c r="F29" i="1"/>
  <c r="H43" i="1"/>
  <c r="G43" i="1"/>
  <c r="F43" i="1"/>
  <c r="H63" i="1"/>
  <c r="G63" i="1"/>
  <c r="F63" i="1"/>
  <c r="H35" i="1"/>
  <c r="G35" i="1"/>
  <c r="F35" i="1"/>
  <c r="H4" i="8"/>
  <c r="G4" i="8"/>
  <c r="F4" i="8"/>
  <c r="H22" i="8"/>
  <c r="H13" i="8"/>
  <c r="G13" i="8"/>
  <c r="F13" i="8"/>
  <c r="H11" i="8"/>
  <c r="G11" i="8"/>
  <c r="F11" i="8"/>
  <c r="H26" i="8"/>
  <c r="H15" i="8"/>
  <c r="G15" i="8"/>
  <c r="F15" i="8"/>
  <c r="H27" i="8"/>
  <c r="G27" i="8"/>
  <c r="F27" i="8"/>
  <c r="H7" i="8"/>
  <c r="G7" i="8"/>
  <c r="F7" i="8"/>
  <c r="H30" i="8"/>
  <c r="G30" i="8"/>
  <c r="F30" i="8"/>
  <c r="H14" i="8"/>
  <c r="G14" i="8"/>
  <c r="F14" i="8"/>
  <c r="H31" i="8"/>
  <c r="G31" i="8"/>
  <c r="F31" i="8"/>
  <c r="H29" i="8"/>
  <c r="G29" i="8"/>
  <c r="F29" i="8"/>
  <c r="I30" i="8" l="1"/>
  <c r="I28" i="4"/>
  <c r="I4" i="12"/>
  <c r="I15" i="5"/>
  <c r="I7" i="11"/>
  <c r="I31" i="4"/>
  <c r="I30" i="4"/>
  <c r="I25" i="4"/>
  <c r="I29" i="8"/>
  <c r="I74" i="1"/>
  <c r="I4" i="4" l="1"/>
  <c r="F9" i="4"/>
  <c r="G9" i="4"/>
  <c r="I9" i="4" l="1"/>
  <c r="F45" i="1"/>
  <c r="G45" i="1"/>
  <c r="I45" i="1" l="1"/>
  <c r="I9" i="5" l="1"/>
  <c r="G18" i="1"/>
  <c r="F18" i="1"/>
  <c r="H23" i="1"/>
  <c r="G23" i="1"/>
  <c r="F23" i="1"/>
  <c r="H24" i="1"/>
  <c r="G24" i="1"/>
  <c r="F24" i="1"/>
  <c r="H36" i="4"/>
  <c r="I36" i="4" s="1"/>
  <c r="H35" i="4"/>
  <c r="I11" i="5" l="1"/>
  <c r="I8" i="5"/>
  <c r="I5" i="11"/>
  <c r="I11" i="4"/>
  <c r="H8" i="11"/>
  <c r="G8" i="11"/>
  <c r="F8" i="11"/>
  <c r="I8" i="11" s="1"/>
  <c r="G17" i="4"/>
  <c r="F17" i="4"/>
  <c r="H14" i="5"/>
  <c r="G14" i="5"/>
  <c r="F14" i="5"/>
  <c r="H19" i="4"/>
  <c r="G19" i="4"/>
  <c r="F19" i="4"/>
  <c r="H23" i="4"/>
  <c r="G14" i="4"/>
  <c r="F14" i="4"/>
  <c r="H89" i="1"/>
  <c r="G42" i="1"/>
  <c r="F42" i="1"/>
  <c r="H34" i="1"/>
  <c r="G34" i="1"/>
  <c r="F34" i="1"/>
  <c r="H96" i="1"/>
  <c r="H94" i="1"/>
  <c r="H95" i="1"/>
  <c r="H121" i="1"/>
  <c r="I121" i="1" s="1"/>
  <c r="H57" i="1"/>
  <c r="H56" i="1"/>
  <c r="G56" i="1"/>
  <c r="F56" i="1"/>
  <c r="H36" i="8"/>
  <c r="G22" i="8"/>
  <c r="F22" i="8"/>
  <c r="H25" i="8"/>
  <c r="G25" i="8"/>
  <c r="F25" i="8"/>
  <c r="I31" i="8"/>
  <c r="I12" i="8" l="1"/>
  <c r="I14" i="8"/>
  <c r="I15" i="8"/>
  <c r="I14" i="5"/>
  <c r="I29" i="1"/>
  <c r="I62" i="1"/>
  <c r="I56" i="1"/>
  <c r="I35" i="1"/>
  <c r="I49" i="1"/>
  <c r="I42" i="1"/>
  <c r="I8" i="4"/>
  <c r="I2" i="12" l="1"/>
  <c r="G3" i="12"/>
  <c r="F3" i="12"/>
  <c r="I3" i="12" s="1"/>
  <c r="G4" i="6"/>
  <c r="F4" i="6"/>
  <c r="H44" i="1"/>
  <c r="G44" i="1"/>
  <c r="F44" i="1"/>
  <c r="H34" i="4"/>
  <c r="H29" i="4"/>
  <c r="H33" i="4"/>
  <c r="H24" i="4"/>
  <c r="G24" i="4"/>
  <c r="F24" i="4"/>
  <c r="H71" i="1"/>
  <c r="G52" i="1"/>
  <c r="F52" i="1"/>
  <c r="H55" i="1"/>
  <c r="G55" i="1"/>
  <c r="F55" i="1"/>
  <c r="H27" i="4"/>
  <c r="G27" i="4"/>
  <c r="F27" i="4"/>
  <c r="G29" i="4"/>
  <c r="F29" i="4"/>
  <c r="G71" i="1"/>
  <c r="G68" i="1"/>
  <c r="F68" i="1"/>
  <c r="F71" i="1"/>
  <c r="H23" i="8"/>
  <c r="G23" i="8"/>
  <c r="F23" i="8"/>
  <c r="H109" i="1"/>
  <c r="H47" i="1"/>
  <c r="G47" i="1"/>
  <c r="F47" i="1"/>
  <c r="H15" i="4"/>
  <c r="G15" i="4"/>
  <c r="F15" i="4"/>
  <c r="H18" i="8"/>
  <c r="H35" i="8"/>
  <c r="H19" i="8"/>
  <c r="G19" i="8"/>
  <c r="F19" i="8"/>
  <c r="H20" i="8"/>
  <c r="G20" i="8"/>
  <c r="F20" i="8"/>
  <c r="I9" i="11"/>
  <c r="I6" i="11"/>
  <c r="I10" i="11"/>
  <c r="I11" i="11"/>
  <c r="I4" i="11"/>
  <c r="I3" i="11"/>
  <c r="G13" i="5"/>
  <c r="H13" i="5"/>
  <c r="F13" i="5"/>
  <c r="G23" i="4"/>
  <c r="F23" i="4"/>
  <c r="H113" i="1"/>
  <c r="H54" i="1"/>
  <c r="G54" i="1"/>
  <c r="F54" i="1"/>
  <c r="G30" i="1"/>
  <c r="F30" i="1"/>
  <c r="H93" i="1"/>
  <c r="H70" i="1"/>
  <c r="H120" i="1"/>
  <c r="I120" i="1" s="1"/>
  <c r="H119" i="1"/>
  <c r="G48" i="1"/>
  <c r="F48" i="1"/>
  <c r="I13" i="5" l="1"/>
  <c r="I3" i="6"/>
  <c r="I3" i="5"/>
  <c r="I4" i="6"/>
  <c r="I36" i="1"/>
  <c r="I26" i="1"/>
  <c r="I2" i="6"/>
  <c r="I2" i="11"/>
  <c r="H112" i="1"/>
  <c r="H118" i="1"/>
  <c r="I118" i="1" s="1"/>
  <c r="H117" i="1"/>
  <c r="I117" i="1" s="1"/>
  <c r="I119" i="1"/>
  <c r="G58" i="1"/>
  <c r="F58" i="1"/>
  <c r="I72" i="1"/>
  <c r="I96" i="1"/>
  <c r="I38" i="1"/>
  <c r="I78" i="1"/>
  <c r="H116" i="1"/>
  <c r="I116" i="1" s="1"/>
  <c r="H115" i="1"/>
  <c r="I115" i="1" s="1"/>
  <c r="I95" i="1"/>
  <c r="G51" i="1"/>
  <c r="F51" i="1"/>
  <c r="G57" i="1"/>
  <c r="F57" i="1"/>
  <c r="H24" i="8"/>
  <c r="G24" i="8"/>
  <c r="F24" i="8"/>
  <c r="I36" i="8"/>
  <c r="I3" i="8"/>
  <c r="H28" i="8"/>
  <c r="G28" i="8"/>
  <c r="F28" i="8"/>
  <c r="H37" i="8"/>
  <c r="G26" i="8"/>
  <c r="F26" i="8"/>
  <c r="H38" i="8"/>
  <c r="I38" i="8" s="1"/>
  <c r="H17" i="8"/>
  <c r="G17" i="8"/>
  <c r="F17" i="8"/>
  <c r="I51" i="1" l="1"/>
  <c r="I9" i="8"/>
  <c r="I58" i="1"/>
  <c r="I27" i="1"/>
  <c r="I57" i="1"/>
  <c r="I26" i="8"/>
  <c r="I33" i="8"/>
  <c r="I2" i="8"/>
  <c r="I24" i="8"/>
  <c r="I4" i="8"/>
  <c r="I28" i="8"/>
  <c r="H77" i="1"/>
  <c r="H88" i="1" l="1"/>
  <c r="G88" i="1"/>
  <c r="F88" i="1"/>
  <c r="H87" i="1"/>
  <c r="G87" i="1"/>
  <c r="F87" i="1"/>
  <c r="H81" i="1"/>
  <c r="F83" i="1"/>
  <c r="G83" i="1"/>
  <c r="H83" i="1"/>
  <c r="G81" i="1"/>
  <c r="F81" i="1"/>
  <c r="I65" i="1"/>
  <c r="I107" i="1"/>
  <c r="H67" i="1"/>
  <c r="G67" i="1"/>
  <c r="F67" i="1"/>
  <c r="H64" i="1"/>
  <c r="G64" i="1"/>
  <c r="F64" i="1"/>
  <c r="H86" i="1"/>
  <c r="G86" i="1"/>
  <c r="F86" i="1"/>
  <c r="H61" i="1"/>
  <c r="G61" i="1"/>
  <c r="F61" i="1"/>
  <c r="G77" i="1"/>
  <c r="F77" i="1"/>
  <c r="H21" i="4"/>
  <c r="G21" i="4"/>
  <c r="F21" i="4"/>
  <c r="I35" i="4"/>
  <c r="H32" i="4"/>
  <c r="G32" i="4"/>
  <c r="F32" i="4"/>
  <c r="H76" i="1"/>
  <c r="G76" i="1"/>
  <c r="F76" i="1"/>
  <c r="I106" i="1"/>
  <c r="H82" i="1"/>
  <c r="F82" i="1"/>
  <c r="I22" i="8"/>
  <c r="I13" i="8"/>
  <c r="I8" i="8"/>
  <c r="I25" i="8"/>
  <c r="I39" i="8"/>
  <c r="I16" i="8"/>
  <c r="I11" i="8"/>
  <c r="I40" i="8"/>
  <c r="I41" i="8"/>
  <c r="I35" i="8"/>
  <c r="I37" i="8"/>
  <c r="I42" i="8"/>
  <c r="I27" i="8"/>
  <c r="I7" i="8"/>
  <c r="G18" i="8"/>
  <c r="F18" i="8"/>
  <c r="I5" i="5"/>
  <c r="I4" i="5"/>
  <c r="I7" i="5"/>
  <c r="I16" i="5"/>
  <c r="I12" i="5"/>
  <c r="I2" i="5"/>
  <c r="I18" i="5"/>
  <c r="I17" i="5"/>
  <c r="I19" i="5"/>
  <c r="I20" i="5"/>
  <c r="I6" i="5"/>
  <c r="I2" i="4"/>
  <c r="I13" i="4"/>
  <c r="I20" i="4"/>
  <c r="I10" i="4"/>
  <c r="I5" i="4"/>
  <c r="I33" i="4"/>
  <c r="I17" i="4"/>
  <c r="I15" i="4"/>
  <c r="I16" i="4"/>
  <c r="I37" i="4"/>
  <c r="I24" i="4"/>
  <c r="I12" i="4"/>
  <c r="I19" i="4"/>
  <c r="I29" i="4"/>
  <c r="I14" i="4"/>
  <c r="I38" i="4"/>
  <c r="I34" i="4"/>
  <c r="I18" i="4"/>
  <c r="I22" i="4"/>
  <c r="I39" i="4"/>
  <c r="I6" i="4"/>
  <c r="I23" i="4"/>
  <c r="I40" i="4"/>
  <c r="I3" i="4"/>
  <c r="I2" i="1"/>
  <c r="I71" i="1"/>
  <c r="I21" i="1"/>
  <c r="I54" i="1"/>
  <c r="I28" i="1"/>
  <c r="I4" i="1"/>
  <c r="I69" i="1"/>
  <c r="I44" i="1"/>
  <c r="I50" i="1"/>
  <c r="I20" i="1"/>
  <c r="I41" i="1"/>
  <c r="I19" i="1"/>
  <c r="I52" i="1"/>
  <c r="I68" i="1"/>
  <c r="I97" i="1"/>
  <c r="I47" i="1"/>
  <c r="I33" i="1"/>
  <c r="I90" i="1"/>
  <c r="I100" i="1"/>
  <c r="I18" i="1"/>
  <c r="I46" i="1"/>
  <c r="I17" i="1"/>
  <c r="I39" i="1"/>
  <c r="I131" i="1"/>
  <c r="I9" i="1"/>
  <c r="I89" i="1"/>
  <c r="I15" i="1"/>
  <c r="I14" i="1"/>
  <c r="I66" i="1"/>
  <c r="I132" i="1"/>
  <c r="I32" i="1"/>
  <c r="I108" i="1"/>
  <c r="I109" i="1"/>
  <c r="I110" i="1"/>
  <c r="I48" i="1"/>
  <c r="I101" i="1"/>
  <c r="I98" i="1"/>
  <c r="I6" i="1"/>
  <c r="I59" i="1"/>
  <c r="I73" i="1"/>
  <c r="I31" i="1"/>
  <c r="I105" i="1"/>
  <c r="I94" i="1"/>
  <c r="I13" i="1"/>
  <c r="I133" i="1"/>
  <c r="I55" i="1"/>
  <c r="I111" i="1"/>
  <c r="I25" i="1"/>
  <c r="I99" i="1"/>
  <c r="I92" i="1"/>
  <c r="I112" i="1"/>
  <c r="I22" i="1"/>
  <c r="I113" i="1"/>
  <c r="I102" i="1"/>
  <c r="I63" i="1"/>
  <c r="I134" i="1"/>
  <c r="I91" i="1"/>
  <c r="I16" i="1"/>
  <c r="I114" i="1"/>
  <c r="I104" i="1"/>
  <c r="I7" i="1"/>
  <c r="H103" i="1"/>
  <c r="I103" i="1" s="1"/>
  <c r="I93" i="1"/>
  <c r="H80" i="1"/>
  <c r="G80" i="1"/>
  <c r="F80" i="1"/>
  <c r="F70" i="1"/>
  <c r="G70" i="1"/>
  <c r="F84" i="1"/>
  <c r="F85" i="1"/>
  <c r="H85" i="1"/>
  <c r="H84" i="1"/>
  <c r="H79" i="1"/>
  <c r="F79" i="1"/>
  <c r="G32" i="8"/>
  <c r="F32" i="8"/>
  <c r="H34" i="8"/>
  <c r="G34" i="8"/>
  <c r="F34" i="8"/>
  <c r="I10" i="5" l="1"/>
  <c r="I6" i="8"/>
  <c r="I21" i="8"/>
  <c r="I5" i="8"/>
  <c r="I19" i="8"/>
  <c r="I10" i="8"/>
  <c r="I32" i="8"/>
  <c r="I20" i="8"/>
  <c r="I87" i="1"/>
  <c r="I32" i="4"/>
  <c r="I88" i="1"/>
  <c r="I76" i="1"/>
  <c r="I24" i="1"/>
  <c r="I34" i="1"/>
  <c r="I83" i="1"/>
  <c r="I43" i="1"/>
  <c r="I23" i="1"/>
  <c r="I3" i="1"/>
  <c r="I85" i="1"/>
  <c r="I67" i="1"/>
  <c r="I81" i="1"/>
  <c r="I27" i="4"/>
  <c r="I11" i="1"/>
  <c r="I34" i="8"/>
  <c r="I23" i="8"/>
  <c r="I17" i="8"/>
  <c r="I82" i="1"/>
  <c r="I8" i="1"/>
  <c r="I84" i="1"/>
  <c r="I79" i="1"/>
  <c r="I86" i="1"/>
  <c r="I70" i="1"/>
  <c r="I80" i="1"/>
  <c r="I10" i="1"/>
  <c r="I60" i="1"/>
  <c r="I64" i="1"/>
  <c r="I61" i="1"/>
  <c r="I75" i="1"/>
  <c r="I77" i="1"/>
  <c r="I7" i="4"/>
  <c r="I30" i="1"/>
  <c r="I40" i="1"/>
  <c r="I21" i="4"/>
  <c r="I12" i="1"/>
  <c r="I37" i="1"/>
  <c r="I18" i="8"/>
</calcChain>
</file>

<file path=xl/sharedStrings.xml><?xml version="1.0" encoding="utf-8"?>
<sst xmlns="http://schemas.openxmlformats.org/spreadsheetml/2006/main" count="1134" uniqueCount="335">
  <si>
    <t>ФИО</t>
  </si>
  <si>
    <t>Город</t>
  </si>
  <si>
    <t>Студия</t>
  </si>
  <si>
    <t>Место</t>
  </si>
  <si>
    <t>Легенда</t>
  </si>
  <si>
    <t>Категория</t>
  </si>
  <si>
    <t>Рейтинг чемпионата</t>
  </si>
  <si>
    <t xml:space="preserve">1 место </t>
  </si>
  <si>
    <t>5 баллов</t>
  </si>
  <si>
    <t>2 место</t>
  </si>
  <si>
    <t>4 балла</t>
  </si>
  <si>
    <t>3 место</t>
  </si>
  <si>
    <t>3 балла</t>
  </si>
  <si>
    <t>4-5 место</t>
  </si>
  <si>
    <t>2 балла</t>
  </si>
  <si>
    <t>5-10 место</t>
  </si>
  <si>
    <t>1 балл</t>
  </si>
  <si>
    <t>последующие</t>
  </si>
  <si>
    <t>Элит</t>
  </si>
  <si>
    <t>Профи</t>
  </si>
  <si>
    <t>Семи-про</t>
  </si>
  <si>
    <t xml:space="preserve">Аматор </t>
  </si>
  <si>
    <t>ЧМ</t>
  </si>
  <si>
    <t>Европа/ Континентальные/ Евросоюз (кроме Украины)  , Азия (Корея/Китай)</t>
  </si>
  <si>
    <t xml:space="preserve">СНГ </t>
  </si>
  <si>
    <t>ЧРК, Кубок РК</t>
  </si>
  <si>
    <t>Турнир РК</t>
  </si>
  <si>
    <t>Фото</t>
  </si>
  <si>
    <t>DA Istina</t>
  </si>
  <si>
    <t>Тоскина Таисия</t>
  </si>
  <si>
    <t>Сулейменова Адина</t>
  </si>
  <si>
    <t>Павлодар</t>
  </si>
  <si>
    <t>Podium</t>
  </si>
  <si>
    <t>Лесная Инесса</t>
  </si>
  <si>
    <t>Шут Полина</t>
  </si>
  <si>
    <t>Шалакина Кира</t>
  </si>
  <si>
    <t>Алматы</t>
  </si>
  <si>
    <t>Темиртау</t>
  </si>
  <si>
    <t>Pandora</t>
  </si>
  <si>
    <t xml:space="preserve">Tiny Birdy </t>
  </si>
  <si>
    <t>Караганда</t>
  </si>
  <si>
    <t>Баденкова Вероника</t>
  </si>
  <si>
    <t>Аракелова Ева</t>
  </si>
  <si>
    <t>Носова Арина</t>
  </si>
  <si>
    <t xml:space="preserve">Lady air </t>
  </si>
  <si>
    <t xml:space="preserve">Караганда </t>
  </si>
  <si>
    <t>Жукова Мария</t>
  </si>
  <si>
    <t>Щербакова Лидия</t>
  </si>
  <si>
    <t>Машковская Радмила</t>
  </si>
  <si>
    <t>Пеннер Полина</t>
  </si>
  <si>
    <t>Air Sport</t>
  </si>
  <si>
    <t>Triada</t>
  </si>
  <si>
    <t>Карпенко Таисия</t>
  </si>
  <si>
    <t>Донская Юлиана</t>
  </si>
  <si>
    <t>Карижская-Флюк Анжелика</t>
  </si>
  <si>
    <t xml:space="preserve">Павлодар </t>
  </si>
  <si>
    <t>Амантаева Амина</t>
  </si>
  <si>
    <t xml:space="preserve">Темиртау </t>
  </si>
  <si>
    <t>Саламова Арина</t>
  </si>
  <si>
    <t>Свобода Анастасия</t>
  </si>
  <si>
    <t>Солодуха Полина</t>
  </si>
  <si>
    <t>Тищенко Валерия</t>
  </si>
  <si>
    <t>ISKRA</t>
  </si>
  <si>
    <t>Тимофеева Анастасия</t>
  </si>
  <si>
    <t>Дата Рождения</t>
  </si>
  <si>
    <t>Дата рождения</t>
  </si>
  <si>
    <t>Итого</t>
  </si>
  <si>
    <t>Даурбекова Хава</t>
  </si>
  <si>
    <t>Долганюк Полина</t>
  </si>
  <si>
    <t>Фирсова Татьяна</t>
  </si>
  <si>
    <t>Татаренко Милана</t>
  </si>
  <si>
    <t>Kamila Kim</t>
  </si>
  <si>
    <t>Щередина Елена</t>
  </si>
  <si>
    <t>Турсунханова Альдина</t>
  </si>
  <si>
    <t>Семёнова Карина</t>
  </si>
  <si>
    <t xml:space="preserve">Бондарева Елена </t>
  </si>
  <si>
    <t>Демидова Ева</t>
  </si>
  <si>
    <t>Камиржанова Жанна</t>
  </si>
  <si>
    <t>Эдем</t>
  </si>
  <si>
    <t>Синицына Мария</t>
  </si>
  <si>
    <t>Иванова Анна</t>
  </si>
  <si>
    <t>Баганова Алуа</t>
  </si>
  <si>
    <t>Заец Полина</t>
  </si>
  <si>
    <t>Step Up</t>
  </si>
  <si>
    <t>Капчагай</t>
  </si>
  <si>
    <t>Капшакбаева Амира</t>
  </si>
  <si>
    <t>Iskra</t>
  </si>
  <si>
    <t>Фрай Лиана</t>
  </si>
  <si>
    <t>Морозова Елизавета</t>
  </si>
  <si>
    <t>Пошвина Ада</t>
  </si>
  <si>
    <t>Эскиджян Арминэ</t>
  </si>
  <si>
    <t>Сарнацкая Варвара</t>
  </si>
  <si>
    <t>Юлусова Адель</t>
  </si>
  <si>
    <t>Харченко Анастасия</t>
  </si>
  <si>
    <t>Кобзева Милана</t>
  </si>
  <si>
    <t>Чухлебова Васелина</t>
  </si>
  <si>
    <t>Гузей Авелина</t>
  </si>
  <si>
    <t>Комашко Дарья</t>
  </si>
  <si>
    <t>Усть-Каменогорск</t>
  </si>
  <si>
    <t>L.A.Studio</t>
  </si>
  <si>
    <t>Егикян Милана</t>
  </si>
  <si>
    <t>Заря Валерия</t>
  </si>
  <si>
    <t>Летина Ульяна</t>
  </si>
  <si>
    <t>Кононович Елена</t>
  </si>
  <si>
    <t>Кирсанова Мадина</t>
  </si>
  <si>
    <t>Кабдыкаримова Елнур</t>
  </si>
  <si>
    <t xml:space="preserve">Пуссырханова Камила </t>
  </si>
  <si>
    <t>Цхай Валерия</t>
  </si>
  <si>
    <t>Игашева Анна</t>
  </si>
  <si>
    <t>Абайбек Дильназ</t>
  </si>
  <si>
    <t>Баймухамедова Азалия</t>
  </si>
  <si>
    <t>Серёгина Юстина</t>
  </si>
  <si>
    <t>Тажетдинова Зарина</t>
  </si>
  <si>
    <t>Galaktika</t>
  </si>
  <si>
    <t xml:space="preserve">Есентимирова Томирис </t>
  </si>
  <si>
    <t>Коваленко Елизавета</t>
  </si>
  <si>
    <t>Булгакова Эвелина</t>
  </si>
  <si>
    <t>Буслович Анжелика</t>
  </si>
  <si>
    <t>Берник Мелания</t>
  </si>
  <si>
    <t>Акимова Арина</t>
  </si>
  <si>
    <t>Захарова Алёна</t>
  </si>
  <si>
    <t>Кудрявцева Марьяна</t>
  </si>
  <si>
    <t>Кривущенко Диана</t>
  </si>
  <si>
    <t>Ким Алина</t>
  </si>
  <si>
    <t>Кузьменко Мария</t>
  </si>
  <si>
    <t>Вялкина Валерия</t>
  </si>
  <si>
    <t>Шуратова Дана</t>
  </si>
  <si>
    <t>Чубук Милана</t>
  </si>
  <si>
    <t>Турихан Камилла</t>
  </si>
  <si>
    <t xml:space="preserve">Бондарева Алёна </t>
  </si>
  <si>
    <t>Абдулина Карина</t>
  </si>
  <si>
    <t xml:space="preserve">Ан Виктория </t>
  </si>
  <si>
    <t>Алм.область</t>
  </si>
  <si>
    <t xml:space="preserve">Горячева Амелия </t>
  </si>
  <si>
    <t xml:space="preserve">Ковган Владислава </t>
  </si>
  <si>
    <t xml:space="preserve">Салыкбай Нурия </t>
  </si>
  <si>
    <t xml:space="preserve">Мукен Инжу </t>
  </si>
  <si>
    <t xml:space="preserve">Маслова Алиса </t>
  </si>
  <si>
    <t xml:space="preserve">Кривенко Полина </t>
  </si>
  <si>
    <t xml:space="preserve">Уланова Карина </t>
  </si>
  <si>
    <t xml:space="preserve">Деревянко Кира </t>
  </si>
  <si>
    <t xml:space="preserve">Ли Екатерина </t>
  </si>
  <si>
    <t xml:space="preserve">Козлова Агния </t>
  </si>
  <si>
    <t xml:space="preserve">Багаева Милена </t>
  </si>
  <si>
    <t xml:space="preserve">Бережинская Алина </t>
  </si>
  <si>
    <t xml:space="preserve"> Цой Яна </t>
  </si>
  <si>
    <t xml:space="preserve">Литвинова Милана </t>
  </si>
  <si>
    <t xml:space="preserve">Кутиченко Анна </t>
  </si>
  <si>
    <t>Головина Варвара</t>
  </si>
  <si>
    <t xml:space="preserve">Жирнова Софья </t>
  </si>
  <si>
    <t>Ефимова Кира</t>
  </si>
  <si>
    <t xml:space="preserve">Кононенко София </t>
  </si>
  <si>
    <t>Бережинская Полина</t>
  </si>
  <si>
    <t xml:space="preserve">Меркушанова Регина </t>
  </si>
  <si>
    <t>Алдабергенова Амина</t>
  </si>
  <si>
    <t xml:space="preserve">Клевакова Альбина </t>
  </si>
  <si>
    <t>Тлеужанова Камилла</t>
  </si>
  <si>
    <t xml:space="preserve">Амирова Николь </t>
  </si>
  <si>
    <t xml:space="preserve">Карвовская София </t>
  </si>
  <si>
    <t xml:space="preserve">Бикташева Ульяна </t>
  </si>
  <si>
    <t>Дубинкина Дарья</t>
  </si>
  <si>
    <t>Дерябина Анджела</t>
  </si>
  <si>
    <t xml:space="preserve">Тыныштык Линара </t>
  </si>
  <si>
    <t xml:space="preserve">Жулина Виктория </t>
  </si>
  <si>
    <t xml:space="preserve">Горбань Дарья </t>
  </si>
  <si>
    <t>Приходько Наталья</t>
  </si>
  <si>
    <t xml:space="preserve">Геллерт Дарья </t>
  </si>
  <si>
    <t>Жолобова Надежда</t>
  </si>
  <si>
    <t>Конаев</t>
  </si>
  <si>
    <t>Цуканова Алиса</t>
  </si>
  <si>
    <t>Смирнов Богдан</t>
  </si>
  <si>
    <t>Кожушко Дарья</t>
  </si>
  <si>
    <t>Air sport</t>
  </si>
  <si>
    <t>Мусабаева Венера</t>
  </si>
  <si>
    <t>Лим Аделия</t>
  </si>
  <si>
    <t xml:space="preserve">Air Sport </t>
  </si>
  <si>
    <t>Акимова Айзере</t>
  </si>
  <si>
    <t>Климова Анастасия</t>
  </si>
  <si>
    <t>Body Flight</t>
  </si>
  <si>
    <t>Лысова Ксения</t>
  </si>
  <si>
    <t>Баянова Алина</t>
  </si>
  <si>
    <t>Вайгант София</t>
  </si>
  <si>
    <t>Левицкая Арина</t>
  </si>
  <si>
    <t>Доронина Ксения</t>
  </si>
  <si>
    <t>Tiny Birdy</t>
  </si>
  <si>
    <t>Доронина Анна</t>
  </si>
  <si>
    <t>Темникова Елена</t>
  </si>
  <si>
    <t>Вырупаева Доминика</t>
  </si>
  <si>
    <t>Коваленко Ксения</t>
  </si>
  <si>
    <t>Худайбергенова Азия</t>
  </si>
  <si>
    <t>Журавлёва Алёна</t>
  </si>
  <si>
    <t>Сергазы Нурай</t>
  </si>
  <si>
    <t xml:space="preserve">Башлыкова Милана </t>
  </si>
  <si>
    <t>Неизвестных Алиса</t>
  </si>
  <si>
    <t>Темиратау</t>
  </si>
  <si>
    <t>Олейник Татьяна</t>
  </si>
  <si>
    <t>Иванчишина Евланья</t>
  </si>
  <si>
    <t>Астана</t>
  </si>
  <si>
    <t>Осипова Елизавета</t>
  </si>
  <si>
    <t>Махамбетова Руслана</t>
  </si>
  <si>
    <t>Барановская Екатерина</t>
  </si>
  <si>
    <t>Смирнова Кира</t>
  </si>
  <si>
    <t>Осипенко Злата</t>
  </si>
  <si>
    <t>Урядникова Яна</t>
  </si>
  <si>
    <t>Айдарова Томирис</t>
  </si>
  <si>
    <t>Макарова Яна</t>
  </si>
  <si>
    <t>Ребрикова Марина</t>
  </si>
  <si>
    <t>Дорина Елизавета</t>
  </si>
  <si>
    <t>Гладилина Екатерина</t>
  </si>
  <si>
    <t>Акулова Ульяна</t>
  </si>
  <si>
    <t>Пасут Александра</t>
  </si>
  <si>
    <t>Васякина Анастасия</t>
  </si>
  <si>
    <t>Ребрикова Ирина</t>
  </si>
  <si>
    <t xml:space="preserve">Шадрина Мария </t>
  </si>
  <si>
    <t>Чеснокова Маргарита</t>
  </si>
  <si>
    <t>Михайлова Алиса</t>
  </si>
  <si>
    <t>Лошакова Юлия</t>
  </si>
  <si>
    <t>Профессионалы</t>
  </si>
  <si>
    <t>2,5 баллов</t>
  </si>
  <si>
    <t xml:space="preserve">Начинающий </t>
  </si>
  <si>
    <t>0,5 балла</t>
  </si>
  <si>
    <t>1,5 балла</t>
  </si>
  <si>
    <t xml:space="preserve">Есилбай Жанель </t>
  </si>
  <si>
    <t xml:space="preserve">Абдулина Карина </t>
  </si>
  <si>
    <t xml:space="preserve"> Каракол Еланур </t>
  </si>
  <si>
    <t xml:space="preserve"> Егорова Виктория </t>
  </si>
  <si>
    <t xml:space="preserve">Ахият Томирис </t>
  </si>
  <si>
    <t>Шегай София</t>
  </si>
  <si>
    <t>Земерова Виктория</t>
  </si>
  <si>
    <t xml:space="preserve">Еренкова Алиса </t>
  </si>
  <si>
    <t xml:space="preserve">Киреева Екатерина </t>
  </si>
  <si>
    <t>Боролдай</t>
  </si>
  <si>
    <t>Fly</t>
  </si>
  <si>
    <t xml:space="preserve"> Еркенбек Алуа </t>
  </si>
  <si>
    <t xml:space="preserve">Кириллова Арина </t>
  </si>
  <si>
    <t xml:space="preserve">Косанова Руслана </t>
  </si>
  <si>
    <t xml:space="preserve">Груздова Валерия </t>
  </si>
  <si>
    <t>Актаева Екатерина</t>
  </si>
  <si>
    <t>Хоченкова Евангелина</t>
  </si>
  <si>
    <t>Валеева Аделина</t>
  </si>
  <si>
    <t xml:space="preserve"> Фатхутдинова Лилиана </t>
  </si>
  <si>
    <t xml:space="preserve"> Амирова Николь </t>
  </si>
  <si>
    <t>Мишина Амелина</t>
  </si>
  <si>
    <t>Игнатенко Алиса</t>
  </si>
  <si>
    <t xml:space="preserve">Ивлеева Галина </t>
  </si>
  <si>
    <t>Актаева Анжелика</t>
  </si>
  <si>
    <t>Загородняя Злата</t>
  </si>
  <si>
    <t>Kristall</t>
  </si>
  <si>
    <t>Нерикова Ева</t>
  </si>
  <si>
    <t>Базылевская Анна</t>
  </si>
  <si>
    <t xml:space="preserve">Смагулова Элина </t>
  </si>
  <si>
    <t>Lady Air</t>
  </si>
  <si>
    <t>Мырзаханова Айзере</t>
  </si>
  <si>
    <t>Агеева Эвелина</t>
  </si>
  <si>
    <t>Сафонова Светлана</t>
  </si>
  <si>
    <t>Васильченко Людмила</t>
  </si>
  <si>
    <t>Павина Илона</t>
  </si>
  <si>
    <t>Шамина Мария</t>
  </si>
  <si>
    <t xml:space="preserve">Lady papillon </t>
  </si>
  <si>
    <t>Поцелуева Эрика</t>
  </si>
  <si>
    <t>Патрашко Екатерина</t>
  </si>
  <si>
    <t>Яблочникова Милана</t>
  </si>
  <si>
    <t xml:space="preserve">Зимарева Кристина </t>
  </si>
  <si>
    <t>Куренова Анна</t>
  </si>
  <si>
    <t>ОЛИМПИЯ</t>
  </si>
  <si>
    <t>Уральск</t>
  </si>
  <si>
    <t xml:space="preserve">Дуйсебаева Дарина </t>
  </si>
  <si>
    <t>Хворова Полина</t>
  </si>
  <si>
    <t>Данко Кристина</t>
  </si>
  <si>
    <t>Ушакова Елизавета</t>
  </si>
  <si>
    <t>Бахтина Наталья</t>
  </si>
  <si>
    <t>LA studio</t>
  </si>
  <si>
    <t>Шемякова Диана</t>
  </si>
  <si>
    <t>Антонова Елизавета</t>
  </si>
  <si>
    <t>Кочергина Елизавета</t>
  </si>
  <si>
    <t>Ким Кира</t>
  </si>
  <si>
    <t>Кошкина Варвара</t>
  </si>
  <si>
    <t>Адильханов Аскар</t>
  </si>
  <si>
    <t>Зыков Владимир</t>
  </si>
  <si>
    <t>Ландина Ольга</t>
  </si>
  <si>
    <t>Tiny birdy</t>
  </si>
  <si>
    <t>Болат Айсара</t>
  </si>
  <si>
    <t xml:space="preserve">Артистик </t>
  </si>
  <si>
    <t>Edem</t>
  </si>
  <si>
    <t>Червинская Арина</t>
  </si>
  <si>
    <t>Искакова Александра</t>
  </si>
  <si>
    <t>Когомбаева Камилла</t>
  </si>
  <si>
    <t>Малишевская Мария</t>
  </si>
  <si>
    <t xml:space="preserve">Зубрилкина Анастасия </t>
  </si>
  <si>
    <t>Орлова Вероника</t>
  </si>
  <si>
    <t>Огиренко Галина</t>
  </si>
  <si>
    <t xml:space="preserve">Крюкова Эвелина </t>
  </si>
  <si>
    <t>Биянова Мария</t>
  </si>
  <si>
    <t>Шестакова Жанар</t>
  </si>
  <si>
    <t>Мамырбекова Фаризат</t>
  </si>
  <si>
    <t xml:space="preserve">Кондратенко Ангелина </t>
  </si>
  <si>
    <t>Каримова Айдана</t>
  </si>
  <si>
    <t>Митина Алина</t>
  </si>
  <si>
    <t>Карабай Карина</t>
  </si>
  <si>
    <t>Ляпунова Екатерина</t>
  </si>
  <si>
    <t>КРК 2023, г. Павлодар, 04-07.08.2023</t>
  </si>
  <si>
    <t>Лисицкая Алена</t>
  </si>
  <si>
    <t>Вегнер Элиана</t>
  </si>
  <si>
    <t>Полумискова Дарья</t>
  </si>
  <si>
    <t>Лазник Милана</t>
  </si>
  <si>
    <t>Котлярова Арина</t>
  </si>
  <si>
    <t>Ганиева Сафина</t>
  </si>
  <si>
    <t>Малышева Арина</t>
  </si>
  <si>
    <t>Козырева Яна</t>
  </si>
  <si>
    <t>Алшимбекова Акнур</t>
  </si>
  <si>
    <t>Гайтукевич Валерия</t>
  </si>
  <si>
    <t>Костанай</t>
  </si>
  <si>
    <t>Школа АВТ</t>
  </si>
  <si>
    <t>Терехова Милана</t>
  </si>
  <si>
    <t>Житенева София</t>
  </si>
  <si>
    <t>Курят Нина</t>
  </si>
  <si>
    <t>Павленко Ангелина</t>
  </si>
  <si>
    <t>XRISSS</t>
  </si>
  <si>
    <t>Анисимова Амалия</t>
  </si>
  <si>
    <t>Кучерова Ирина</t>
  </si>
  <si>
    <t>Миклошич Юлия</t>
  </si>
  <si>
    <t>Мукашева Саида</t>
  </si>
  <si>
    <t>Малимбаева Рената</t>
  </si>
  <si>
    <t>Телемтаева Карина</t>
  </si>
  <si>
    <t>РТ 2023, г. Астана, 27.09-01.10.2023</t>
  </si>
  <si>
    <t>ЧРК 2023, г. Алмата,  04-08.05.2023</t>
  </si>
  <si>
    <t xml:space="preserve">Air Power Athletics Championship Kazakhstan, г. Алматы,  20.03.2023
</t>
  </si>
  <si>
    <t>Мережко Карина</t>
  </si>
  <si>
    <t>Колычова София</t>
  </si>
  <si>
    <t xml:space="preserve">ЧМ 2023, г.Кельце, Польша 26.10-30.10.2023 </t>
  </si>
  <si>
    <t>МТ Полигон г. Москва, Россия  10.11.2023-12.11.2023</t>
  </si>
  <si>
    <t>Lady Papillon</t>
  </si>
  <si>
    <t>Всероссийском турнир, г. Омск, 25.11.2023</t>
  </si>
  <si>
    <t>Pole and Aerial World Cup 2023, г. Болонья, Италия, 1-3.12.2023</t>
  </si>
  <si>
    <t>Luna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</si>
</sst>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 x14ac:knownFonts="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color rgb="FF000000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i/>
      <sz val="10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sz val="13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sz val="11"/>
      <name val="Calibri"/>
      <family val="2"/>
      <charset val="204"/>
      <scheme val="minor"/>
    </font>
    <font>
      <sz val="11"/>
      <color rgb="FF2C2D2E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u/>
      <sz val="11"/>
      <color theme="1"/>
      <name val="Calibri"/>
      <family val="2"/>
      <charset val="204"/>
      <scheme val="minor"/>
    </font>
    <font>
      <u/>
      <sz val="12"/>
      <color theme="1"/>
      <name val="Calibri"/>
      <family val="2"/>
      <charset val="204"/>
      <scheme val="minor"/>
    </font>
    <font>
      <sz val="12"/>
      <color rgb="FF000000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1"/>
      <color rgb="FF00000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0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2"/>
      <color rgb="FF000000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3" fillId="0" borderId="0" applyNumberFormat="0" applyFill="0" applyBorder="0" applyAlignment="0" applyProtection="0"/>
    <xf numFmtId="0" fontId="5" fillId="0" borderId="0"/>
    <xf numFmtId="0" fontId="2" fillId="0" borderId="0"/>
  </cellStyleXfs>
  <cellXfs count="164">
    <xf numFmtId="0" fontId="0" fillId="0" borderId="0" xfId="0"/>
    <xf numFmtId="0" fontId="6" fillId="0" borderId="0" xfId="0" applyFont="1"/>
    <xf numFmtId="0" fontId="6" fillId="0" borderId="1" xfId="0" applyFont="1" applyBorder="1"/>
    <xf numFmtId="0" fontId="6" fillId="0" borderId="1" xfId="0" applyFont="1" applyBorder="1" applyAlignment="1">
      <alignment horizontal="left" wrapText="1"/>
    </xf>
    <xf numFmtId="0" fontId="0" fillId="0" borderId="1" xfId="0" applyBorder="1"/>
    <xf numFmtId="0" fontId="7" fillId="0" borderId="1" xfId="0" applyFont="1" applyBorder="1"/>
    <xf numFmtId="0" fontId="8" fillId="0" borderId="1" xfId="0" applyFont="1" applyBorder="1"/>
    <xf numFmtId="0" fontId="7" fillId="0" borderId="1" xfId="0" applyFont="1" applyBorder="1" applyAlignment="1">
      <alignment horizontal="left"/>
    </xf>
    <xf numFmtId="0" fontId="0" fillId="0" borderId="0" xfId="0" applyBorder="1"/>
    <xf numFmtId="0" fontId="0" fillId="0" borderId="0" xfId="0" applyFill="1" applyBorder="1"/>
    <xf numFmtId="0" fontId="0" fillId="0" borderId="0" xfId="0"/>
    <xf numFmtId="0" fontId="0" fillId="0" borderId="0" xfId="0"/>
    <xf numFmtId="0" fontId="0" fillId="0" borderId="0" xfId="0"/>
    <xf numFmtId="0" fontId="1" fillId="0" borderId="1" xfId="2" applyFont="1" applyFill="1" applyBorder="1" applyAlignment="1"/>
    <xf numFmtId="0" fontId="0" fillId="0" borderId="0" xfId="0"/>
    <xf numFmtId="0" fontId="0" fillId="0" borderId="0" xfId="0"/>
    <xf numFmtId="0" fontId="4" fillId="0" borderId="1" xfId="0" applyFont="1" applyFill="1" applyBorder="1"/>
    <xf numFmtId="0" fontId="4" fillId="0" borderId="1" xfId="0" applyFont="1" applyBorder="1"/>
    <xf numFmtId="0" fontId="0" fillId="0" borderId="0" xfId="0" applyBorder="1" applyAlignment="1">
      <alignment wrapText="1"/>
    </xf>
    <xf numFmtId="0" fontId="9" fillId="0" borderId="0" xfId="0" applyFont="1" applyBorder="1"/>
    <xf numFmtId="0" fontId="9" fillId="0" borderId="0" xfId="0" applyFont="1"/>
    <xf numFmtId="0" fontId="10" fillId="0" borderId="1" xfId="0" applyFont="1" applyBorder="1"/>
    <xf numFmtId="0" fontId="11" fillId="0" borderId="1" xfId="0" applyFont="1" applyBorder="1"/>
    <xf numFmtId="0" fontId="12" fillId="0" borderId="1" xfId="0" applyFont="1" applyBorder="1"/>
    <xf numFmtId="0" fontId="13" fillId="0" borderId="1" xfId="0" applyFont="1" applyBorder="1"/>
    <xf numFmtId="0" fontId="10" fillId="0" borderId="1" xfId="0" applyFont="1" applyBorder="1" applyAlignment="1">
      <alignment horizontal="left" wrapText="1"/>
    </xf>
    <xf numFmtId="0" fontId="13" fillId="0" borderId="1" xfId="0" applyFont="1" applyBorder="1" applyAlignment="1">
      <alignment horizontal="left"/>
    </xf>
    <xf numFmtId="0" fontId="4" fillId="0" borderId="1" xfId="0" applyFont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0" fillId="2" borderId="0" xfId="0" applyFill="1"/>
    <xf numFmtId="0" fontId="4" fillId="0" borderId="1" xfId="0" applyFont="1" applyBorder="1" applyAlignment="1">
      <alignment horizontal="center"/>
    </xf>
    <xf numFmtId="0" fontId="12" fillId="0" borderId="0" xfId="0" applyFont="1"/>
    <xf numFmtId="0" fontId="4" fillId="0" borderId="1" xfId="0" applyFont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14" fillId="0" borderId="1" xfId="0" applyFont="1" applyFill="1" applyBorder="1" applyAlignment="1">
      <alignment horizontal="center"/>
    </xf>
    <xf numFmtId="0" fontId="0" fillId="0" borderId="1" xfId="0" applyFont="1" applyBorder="1"/>
    <xf numFmtId="0" fontId="0" fillId="0" borderId="1" xfId="0" applyFont="1" applyFill="1" applyBorder="1" applyAlignment="1">
      <alignment horizontal="center"/>
    </xf>
    <xf numFmtId="14" fontId="0" fillId="0" borderId="1" xfId="0" applyNumberFormat="1" applyFont="1" applyFill="1" applyBorder="1" applyAlignment="1">
      <alignment horizontal="center"/>
    </xf>
    <xf numFmtId="0" fontId="0" fillId="0" borderId="1" xfId="0" applyFont="1" applyBorder="1" applyAlignment="1">
      <alignment horizontal="center" wrapText="1"/>
    </xf>
    <xf numFmtId="0" fontId="0" fillId="0" borderId="2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0" xfId="0" applyFont="1" applyBorder="1"/>
    <xf numFmtId="0" fontId="0" fillId="0" borderId="0" xfId="0" applyFont="1" applyBorder="1" applyAlignment="1">
      <alignment horizontal="center"/>
    </xf>
    <xf numFmtId="0" fontId="0" fillId="0" borderId="1" xfId="0" applyFont="1" applyFill="1" applyBorder="1" applyAlignment="1">
      <alignment horizontal="center" wrapText="1"/>
    </xf>
    <xf numFmtId="0" fontId="0" fillId="2" borderId="0" xfId="0" applyFill="1" applyBorder="1"/>
    <xf numFmtId="14" fontId="0" fillId="0" borderId="2" xfId="0" applyNumberFormat="1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0" fillId="0" borderId="3" xfId="0" applyBorder="1"/>
    <xf numFmtId="0" fontId="0" fillId="0" borderId="0" xfId="0"/>
    <xf numFmtId="0" fontId="0" fillId="0" borderId="0" xfId="0" applyFill="1"/>
    <xf numFmtId="0" fontId="10" fillId="0" borderId="1" xfId="0" applyFont="1" applyFill="1" applyBorder="1"/>
    <xf numFmtId="0" fontId="15" fillId="0" borderId="1" xfId="0" applyFont="1" applyBorder="1"/>
    <xf numFmtId="0" fontId="15" fillId="0" borderId="0" xfId="0" applyFont="1"/>
    <xf numFmtId="0" fontId="4" fillId="0" borderId="1" xfId="0" applyFont="1" applyBorder="1" applyAlignment="1">
      <alignment horizontal="center"/>
    </xf>
    <xf numFmtId="0" fontId="10" fillId="2" borderId="1" xfId="0" applyFont="1" applyFill="1" applyBorder="1"/>
    <xf numFmtId="0" fontId="0" fillId="0" borderId="0" xfId="0" applyFont="1"/>
    <xf numFmtId="0" fontId="4" fillId="0" borderId="0" xfId="0" applyFont="1"/>
    <xf numFmtId="0" fontId="4" fillId="0" borderId="0" xfId="0" applyFont="1" applyBorder="1"/>
    <xf numFmtId="0" fontId="4" fillId="0" borderId="1" xfId="0" applyFont="1" applyBorder="1" applyAlignment="1">
      <alignment horizontal="center" wrapText="1"/>
    </xf>
    <xf numFmtId="0" fontId="0" fillId="0" borderId="0" xfId="0" applyAlignment="1">
      <alignment horizontal="center" wrapText="1"/>
    </xf>
    <xf numFmtId="0" fontId="4" fillId="0" borderId="0" xfId="0" applyFont="1" applyFill="1"/>
    <xf numFmtId="0" fontId="17" fillId="0" borderId="1" xfId="0" applyFont="1" applyFill="1" applyBorder="1"/>
    <xf numFmtId="0" fontId="10" fillId="0" borderId="1" xfId="0" applyFont="1" applyFill="1" applyBorder="1" applyAlignment="1">
      <alignment horizontal="center"/>
    </xf>
    <xf numFmtId="0" fontId="9" fillId="0" borderId="1" xfId="0" applyFont="1" applyBorder="1"/>
    <xf numFmtId="0" fontId="17" fillId="0" borderId="1" xfId="0" applyFont="1" applyBorder="1"/>
    <xf numFmtId="0" fontId="10" fillId="0" borderId="1" xfId="0" applyFont="1" applyBorder="1" applyAlignment="1">
      <alignment horizontal="center" wrapText="1"/>
    </xf>
    <xf numFmtId="0" fontId="20" fillId="0" borderId="1" xfId="0" applyFont="1" applyBorder="1" applyAlignment="1">
      <alignment horizontal="center"/>
    </xf>
    <xf numFmtId="14" fontId="0" fillId="0" borderId="0" xfId="0" applyNumberFormat="1" applyFont="1" applyFill="1" applyBorder="1" applyAlignment="1">
      <alignment horizontal="center"/>
    </xf>
    <xf numFmtId="0" fontId="0" fillId="0" borderId="2" xfId="0" applyFont="1" applyBorder="1" applyAlignment="1">
      <alignment horizontal="center" wrapText="1"/>
    </xf>
    <xf numFmtId="0" fontId="1" fillId="0" borderId="0" xfId="2" applyFont="1" applyFill="1" applyBorder="1" applyAlignment="1"/>
    <xf numFmtId="0" fontId="0" fillId="0" borderId="0" xfId="0" applyFont="1" applyFill="1" applyBorder="1" applyAlignment="1">
      <alignment horizontal="center" wrapText="1"/>
    </xf>
    <xf numFmtId="14" fontId="0" fillId="0" borderId="0" xfId="0" applyNumberFormat="1" applyBorder="1" applyAlignment="1">
      <alignment horizontal="center"/>
    </xf>
    <xf numFmtId="0" fontId="0" fillId="0" borderId="1" xfId="0" applyBorder="1"/>
    <xf numFmtId="0" fontId="0" fillId="0" borderId="1" xfId="0" applyFill="1" applyBorder="1"/>
    <xf numFmtId="0" fontId="1" fillId="0" borderId="1" xfId="2" applyFont="1" applyFill="1" applyBorder="1" applyAlignment="1"/>
    <xf numFmtId="0" fontId="0" fillId="0" borderId="1" xfId="0" applyBorder="1" applyAlignment="1">
      <alignment horizontal="center"/>
    </xf>
    <xf numFmtId="14" fontId="0" fillId="0" borderId="1" xfId="0" applyNumberForma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4" fillId="0" borderId="1" xfId="0" applyFont="1" applyBorder="1"/>
    <xf numFmtId="0" fontId="0" fillId="0" borderId="1" xfId="0" applyBorder="1" applyAlignment="1">
      <alignment horizontal="center" wrapText="1"/>
    </xf>
    <xf numFmtId="0" fontId="0" fillId="0" borderId="1" xfId="0" applyBorder="1" applyAlignment="1">
      <alignment horizontal="right"/>
    </xf>
    <xf numFmtId="14" fontId="0" fillId="0" borderId="1" xfId="0" applyNumberFormat="1" applyBorder="1" applyAlignment="1">
      <alignment horizontal="center"/>
    </xf>
    <xf numFmtId="0" fontId="0" fillId="2" borderId="1" xfId="0" applyFill="1" applyBorder="1"/>
    <xf numFmtId="0" fontId="4" fillId="0" borderId="1" xfId="0" applyFont="1" applyFill="1" applyBorder="1"/>
    <xf numFmtId="0" fontId="0" fillId="0" borderId="1" xfId="0" applyFont="1" applyFill="1" applyBorder="1" applyAlignment="1">
      <alignment horizontal="center" wrapText="1"/>
    </xf>
    <xf numFmtId="14" fontId="0" fillId="0" borderId="1" xfId="0" applyNumberFormat="1" applyFont="1" applyFill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0" fillId="0" borderId="1" xfId="0" applyFont="1" applyBorder="1"/>
    <xf numFmtId="14" fontId="0" fillId="0" borderId="2" xfId="0" applyNumberFormat="1" applyFont="1" applyFill="1" applyBorder="1" applyAlignment="1">
      <alignment horizontal="center"/>
    </xf>
    <xf numFmtId="0" fontId="0" fillId="0" borderId="2" xfId="0" applyFont="1" applyBorder="1" applyAlignment="1">
      <alignment horizontal="center"/>
    </xf>
    <xf numFmtId="0" fontId="0" fillId="0" borderId="1" xfId="0" applyFont="1" applyFill="1" applyBorder="1"/>
    <xf numFmtId="0" fontId="0" fillId="0" borderId="1" xfId="0" applyFont="1" applyFill="1" applyBorder="1" applyAlignment="1">
      <alignment horizontal="center"/>
    </xf>
    <xf numFmtId="0" fontId="0" fillId="2" borderId="1" xfId="0" applyFont="1" applyFill="1" applyBorder="1" applyAlignment="1">
      <alignment horizontal="center"/>
    </xf>
    <xf numFmtId="0" fontId="0" fillId="0" borderId="1" xfId="0" applyFont="1" applyBorder="1" applyAlignment="1">
      <alignment horizontal="center" wrapText="1"/>
    </xf>
    <xf numFmtId="14" fontId="0" fillId="0" borderId="1" xfId="0" applyNumberFormat="1" applyFont="1" applyBorder="1" applyAlignment="1">
      <alignment horizontal="center"/>
    </xf>
    <xf numFmtId="0" fontId="0" fillId="0" borderId="2" xfId="0" applyFont="1" applyFill="1" applyBorder="1" applyAlignment="1">
      <alignment horizontal="center" wrapText="1"/>
    </xf>
    <xf numFmtId="0" fontId="4" fillId="0" borderId="1" xfId="0" applyFont="1" applyBorder="1" applyAlignment="1">
      <alignment horizontal="center"/>
    </xf>
    <xf numFmtId="0" fontId="0" fillId="0" borderId="0" xfId="0" applyFont="1" applyAlignment="1">
      <alignment horizontal="center"/>
    </xf>
    <xf numFmtId="0" fontId="0" fillId="2" borderId="1" xfId="0" applyFont="1" applyFill="1" applyBorder="1" applyAlignment="1">
      <alignment horizontal="center" wrapText="1"/>
    </xf>
    <xf numFmtId="0" fontId="0" fillId="0" borderId="0" xfId="0" applyFont="1" applyBorder="1" applyAlignment="1">
      <alignment horizontal="center" wrapText="1"/>
    </xf>
    <xf numFmtId="14" fontId="0" fillId="2" borderId="1" xfId="0" applyNumberFormat="1" applyFont="1" applyFill="1" applyBorder="1" applyAlignment="1">
      <alignment horizontal="center"/>
    </xf>
    <xf numFmtId="0" fontId="21" fillId="0" borderId="0" xfId="0" applyFont="1" applyFill="1" applyBorder="1" applyAlignment="1">
      <alignment horizontal="center"/>
    </xf>
    <xf numFmtId="0" fontId="21" fillId="0" borderId="0" xfId="0" applyFont="1" applyAlignment="1">
      <alignment horizontal="center"/>
    </xf>
    <xf numFmtId="0" fontId="22" fillId="0" borderId="1" xfId="0" applyFont="1" applyBorder="1" applyAlignment="1">
      <alignment horizontal="center"/>
    </xf>
    <xf numFmtId="0" fontId="22" fillId="0" borderId="0" xfId="0" applyFont="1" applyBorder="1" applyAlignment="1">
      <alignment horizontal="center"/>
    </xf>
    <xf numFmtId="0" fontId="21" fillId="0" borderId="0" xfId="0" applyFont="1" applyBorder="1" applyAlignment="1">
      <alignment horizontal="center"/>
    </xf>
    <xf numFmtId="0" fontId="22" fillId="0" borderId="2" xfId="0" applyFont="1" applyBorder="1" applyAlignment="1">
      <alignment horizontal="center"/>
    </xf>
    <xf numFmtId="0" fontId="10" fillId="2" borderId="1" xfId="0" applyFont="1" applyFill="1" applyBorder="1" applyAlignment="1">
      <alignment wrapText="1"/>
    </xf>
    <xf numFmtId="0" fontId="10" fillId="0" borderId="1" xfId="0" applyFont="1" applyFill="1" applyBorder="1" applyAlignment="1">
      <alignment wrapText="1"/>
    </xf>
    <xf numFmtId="0" fontId="10" fillId="0" borderId="1" xfId="0" applyFont="1" applyBorder="1" applyAlignment="1">
      <alignment wrapText="1"/>
    </xf>
    <xf numFmtId="0" fontId="17" fillId="0" borderId="1" xfId="0" applyFont="1" applyBorder="1" applyAlignment="1">
      <alignment wrapText="1"/>
    </xf>
    <xf numFmtId="0" fontId="10" fillId="0" borderId="0" xfId="0" applyFont="1" applyBorder="1" applyAlignment="1">
      <alignment wrapText="1"/>
    </xf>
    <xf numFmtId="0" fontId="9" fillId="0" borderId="0" xfId="0" applyFont="1" applyBorder="1" applyAlignment="1">
      <alignment wrapText="1"/>
    </xf>
    <xf numFmtId="0" fontId="9" fillId="0" borderId="0" xfId="0" applyFont="1" applyAlignment="1">
      <alignment wrapText="1"/>
    </xf>
    <xf numFmtId="0" fontId="0" fillId="0" borderId="0" xfId="0" applyAlignment="1">
      <alignment wrapText="1"/>
    </xf>
    <xf numFmtId="0" fontId="17" fillId="0" borderId="0" xfId="0" applyFont="1" applyBorder="1" applyAlignment="1">
      <alignment wrapText="1"/>
    </xf>
    <xf numFmtId="0" fontId="4" fillId="0" borderId="1" xfId="0" applyFont="1" applyBorder="1" applyAlignment="1">
      <alignment wrapText="1"/>
    </xf>
    <xf numFmtId="0" fontId="4" fillId="0" borderId="1" xfId="0" applyFont="1" applyFill="1" applyBorder="1" applyAlignment="1">
      <alignment wrapText="1"/>
    </xf>
    <xf numFmtId="14" fontId="16" fillId="0" borderId="1" xfId="0" applyNumberFormat="1" applyFont="1" applyBorder="1" applyAlignment="1">
      <alignment horizontal="center"/>
    </xf>
    <xf numFmtId="0" fontId="0" fillId="0" borderId="1" xfId="0" applyFill="1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4" fillId="0" borderId="1" xfId="0" applyFont="1" applyBorder="1" applyAlignment="1">
      <alignment horizontal="center"/>
    </xf>
    <xf numFmtId="14" fontId="0" fillId="0" borderId="0" xfId="0" applyNumberFormat="1" applyFont="1" applyBorder="1" applyAlignment="1">
      <alignment horizontal="center"/>
    </xf>
    <xf numFmtId="0" fontId="0" fillId="0" borderId="0" xfId="0" applyFont="1" applyFill="1" applyBorder="1"/>
    <xf numFmtId="0" fontId="0" fillId="2" borderId="0" xfId="0" applyFont="1" applyFill="1" applyBorder="1" applyAlignment="1">
      <alignment horizontal="center"/>
    </xf>
    <xf numFmtId="0" fontId="1" fillId="0" borderId="2" xfId="2" applyFont="1" applyFill="1" applyBorder="1" applyAlignment="1"/>
    <xf numFmtId="0" fontId="10" fillId="0" borderId="1" xfId="0" applyFont="1" applyBorder="1" applyAlignment="1">
      <alignment horizontal="center"/>
    </xf>
    <xf numFmtId="0" fontId="14" fillId="0" borderId="2" xfId="0" applyFont="1" applyFill="1" applyBorder="1" applyAlignment="1">
      <alignment horizontal="center"/>
    </xf>
    <xf numFmtId="0" fontId="0" fillId="0" borderId="2" xfId="0" applyFont="1" applyBorder="1"/>
    <xf numFmtId="0" fontId="0" fillId="2" borderId="2" xfId="0" applyFont="1" applyFill="1" applyBorder="1" applyAlignment="1">
      <alignment horizontal="center" wrapText="1"/>
    </xf>
    <xf numFmtId="14" fontId="0" fillId="2" borderId="2" xfId="0" applyNumberFormat="1" applyFont="1" applyFill="1" applyBorder="1" applyAlignment="1">
      <alignment horizontal="center"/>
    </xf>
    <xf numFmtId="0" fontId="0" fillId="0" borderId="4" xfId="0" applyFont="1" applyBorder="1"/>
    <xf numFmtId="14" fontId="0" fillId="2" borderId="0" xfId="0" applyNumberFormat="1" applyFont="1" applyFill="1" applyBorder="1" applyAlignment="1">
      <alignment horizontal="center"/>
    </xf>
    <xf numFmtId="14" fontId="0" fillId="0" borderId="1" xfId="0" applyNumberFormat="1" applyBorder="1"/>
    <xf numFmtId="0" fontId="4" fillId="0" borderId="1" xfId="0" applyFont="1" applyBorder="1" applyAlignment="1">
      <alignment horizontal="center"/>
    </xf>
    <xf numFmtId="0" fontId="4" fillId="0" borderId="1" xfId="0" applyFont="1" applyFill="1" applyBorder="1" applyAlignment="1">
      <alignment horizontal="center" wrapText="1"/>
    </xf>
    <xf numFmtId="14" fontId="4" fillId="0" borderId="1" xfId="0" applyNumberFormat="1" applyFont="1" applyBorder="1" applyAlignment="1">
      <alignment horizontal="center"/>
    </xf>
    <xf numFmtId="14" fontId="4" fillId="0" borderId="1" xfId="0" applyNumberFormat="1" applyFont="1" applyFill="1" applyBorder="1" applyAlignment="1">
      <alignment horizontal="center"/>
    </xf>
    <xf numFmtId="0" fontId="23" fillId="0" borderId="1" xfId="0" applyFont="1" applyFill="1" applyBorder="1" applyAlignment="1">
      <alignment horizontal="center"/>
    </xf>
    <xf numFmtId="14" fontId="23" fillId="0" borderId="1" xfId="0" applyNumberFormat="1" applyFont="1" applyFill="1" applyBorder="1" applyAlignment="1">
      <alignment horizontal="center"/>
    </xf>
    <xf numFmtId="0" fontId="23" fillId="0" borderId="1" xfId="0" applyFont="1" applyBorder="1" applyAlignment="1">
      <alignment horizontal="center"/>
    </xf>
    <xf numFmtId="0" fontId="23" fillId="0" borderId="1" xfId="0" applyFont="1" applyBorder="1"/>
    <xf numFmtId="0" fontId="24" fillId="0" borderId="1" xfId="2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14" fontId="4" fillId="2" borderId="1" xfId="0" applyNumberFormat="1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17" fillId="2" borderId="1" xfId="0" applyFont="1" applyFill="1" applyBorder="1" applyAlignment="1">
      <alignment wrapText="1"/>
    </xf>
    <xf numFmtId="0" fontId="17" fillId="0" borderId="1" xfId="0" applyFont="1" applyFill="1" applyBorder="1" applyAlignment="1">
      <alignment wrapText="1"/>
    </xf>
    <xf numFmtId="14" fontId="4" fillId="0" borderId="0" xfId="0" applyNumberFormat="1" applyFont="1" applyFill="1" applyBorder="1" applyAlignment="1">
      <alignment horizontal="center"/>
    </xf>
    <xf numFmtId="0" fontId="25" fillId="0" borderId="1" xfId="0" applyFont="1" applyFill="1" applyBorder="1" applyAlignment="1">
      <alignment horizontal="center"/>
    </xf>
    <xf numFmtId="0" fontId="26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18" fillId="0" borderId="1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18" fillId="0" borderId="6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19" fillId="0" borderId="1" xfId="0" applyFont="1" applyBorder="1" applyAlignment="1">
      <alignment horizontal="center"/>
    </xf>
    <xf numFmtId="0" fontId="17" fillId="0" borderId="1" xfId="0" applyFont="1" applyBorder="1" applyAlignment="1">
      <alignment horizontal="center"/>
    </xf>
  </cellXfs>
  <cellStyles count="4">
    <cellStyle name="Гиперссылка 2" xfId="1" xr:uid="{00000000-0005-0000-0000-000000000000}"/>
    <cellStyle name="Обычный" xfId="0" builtinId="0"/>
    <cellStyle name="Обычный 2" xfId="2" xr:uid="{00000000-0005-0000-0000-000002000000}"/>
    <cellStyle name="Обычный 2 2" xfId="3" xr:uid="{00000000-0005-0000-0000-000003000000}"/>
  </cellStyles>
  <dxfs count="8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Relationship Id="rId6" Type="http://schemas.openxmlformats.org/officeDocument/2006/relationships/image" Target="../media/image9.png"/><Relationship Id="rId5" Type="http://schemas.openxmlformats.org/officeDocument/2006/relationships/image" Target="../media/image8.jpeg"/><Relationship Id="rId10" Type="http://schemas.openxmlformats.org/officeDocument/2006/relationships/image" Target="../media/image13.jpeg"/><Relationship Id="rId4" Type="http://schemas.openxmlformats.org/officeDocument/2006/relationships/image" Target="../media/image7.png"/><Relationship Id="rId9" Type="http://schemas.openxmlformats.org/officeDocument/2006/relationships/image" Target="../media/image1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13" Type="http://schemas.openxmlformats.org/officeDocument/2006/relationships/image" Target="../media/image26.jpeg"/><Relationship Id="rId18" Type="http://schemas.openxmlformats.org/officeDocument/2006/relationships/image" Target="../media/image31.png"/><Relationship Id="rId3" Type="http://schemas.openxmlformats.org/officeDocument/2006/relationships/image" Target="../media/image16.jpeg"/><Relationship Id="rId7" Type="http://schemas.openxmlformats.org/officeDocument/2006/relationships/image" Target="../media/image20.png"/><Relationship Id="rId12" Type="http://schemas.openxmlformats.org/officeDocument/2006/relationships/image" Target="../media/image25.jpeg"/><Relationship Id="rId17" Type="http://schemas.openxmlformats.org/officeDocument/2006/relationships/image" Target="../media/image30.png"/><Relationship Id="rId2" Type="http://schemas.openxmlformats.org/officeDocument/2006/relationships/image" Target="../media/image15.png"/><Relationship Id="rId16" Type="http://schemas.openxmlformats.org/officeDocument/2006/relationships/image" Target="../media/image29.png"/><Relationship Id="rId1" Type="http://schemas.openxmlformats.org/officeDocument/2006/relationships/image" Target="../media/image14.jpeg"/><Relationship Id="rId6" Type="http://schemas.openxmlformats.org/officeDocument/2006/relationships/image" Target="../media/image19.png"/><Relationship Id="rId11" Type="http://schemas.openxmlformats.org/officeDocument/2006/relationships/image" Target="../media/image24.jpeg"/><Relationship Id="rId5" Type="http://schemas.openxmlformats.org/officeDocument/2006/relationships/image" Target="../media/image18.png"/><Relationship Id="rId15" Type="http://schemas.openxmlformats.org/officeDocument/2006/relationships/image" Target="../media/image28.png"/><Relationship Id="rId10" Type="http://schemas.openxmlformats.org/officeDocument/2006/relationships/image" Target="../media/image23.jpeg"/><Relationship Id="rId19" Type="http://schemas.openxmlformats.org/officeDocument/2006/relationships/image" Target="../media/image32.jpeg"/><Relationship Id="rId4" Type="http://schemas.openxmlformats.org/officeDocument/2006/relationships/image" Target="../media/image17.png"/><Relationship Id="rId9" Type="http://schemas.openxmlformats.org/officeDocument/2006/relationships/image" Target="../media/image22.png"/><Relationship Id="rId14" Type="http://schemas.openxmlformats.org/officeDocument/2006/relationships/image" Target="../media/image2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jpeg"/><Relationship Id="rId2" Type="http://schemas.openxmlformats.org/officeDocument/2006/relationships/image" Target="../media/image34.jpeg"/><Relationship Id="rId1" Type="http://schemas.openxmlformats.org/officeDocument/2006/relationships/image" Target="../media/image33.jpe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48.jpeg"/><Relationship Id="rId18" Type="http://schemas.openxmlformats.org/officeDocument/2006/relationships/image" Target="../media/image53.jpeg"/><Relationship Id="rId26" Type="http://schemas.openxmlformats.org/officeDocument/2006/relationships/image" Target="../media/image61.png"/><Relationship Id="rId39" Type="http://schemas.openxmlformats.org/officeDocument/2006/relationships/image" Target="../media/image74.png"/><Relationship Id="rId21" Type="http://schemas.openxmlformats.org/officeDocument/2006/relationships/image" Target="../media/image56.jpeg"/><Relationship Id="rId34" Type="http://schemas.openxmlformats.org/officeDocument/2006/relationships/image" Target="../media/image69.jpeg"/><Relationship Id="rId7" Type="http://schemas.openxmlformats.org/officeDocument/2006/relationships/image" Target="../media/image42.jpeg"/><Relationship Id="rId12" Type="http://schemas.openxmlformats.org/officeDocument/2006/relationships/image" Target="../media/image47.png"/><Relationship Id="rId17" Type="http://schemas.openxmlformats.org/officeDocument/2006/relationships/image" Target="../media/image52.jpeg"/><Relationship Id="rId25" Type="http://schemas.openxmlformats.org/officeDocument/2006/relationships/image" Target="../media/image60.jpeg"/><Relationship Id="rId33" Type="http://schemas.openxmlformats.org/officeDocument/2006/relationships/image" Target="../media/image68.jpeg"/><Relationship Id="rId38" Type="http://schemas.openxmlformats.org/officeDocument/2006/relationships/image" Target="../media/image73.jpeg"/><Relationship Id="rId2" Type="http://schemas.openxmlformats.org/officeDocument/2006/relationships/image" Target="../media/image37.jpeg"/><Relationship Id="rId16" Type="http://schemas.openxmlformats.org/officeDocument/2006/relationships/image" Target="../media/image51.png"/><Relationship Id="rId20" Type="http://schemas.openxmlformats.org/officeDocument/2006/relationships/image" Target="../media/image55.png"/><Relationship Id="rId29" Type="http://schemas.openxmlformats.org/officeDocument/2006/relationships/image" Target="../media/image64.png"/><Relationship Id="rId1" Type="http://schemas.openxmlformats.org/officeDocument/2006/relationships/image" Target="../media/image36.jpeg"/><Relationship Id="rId6" Type="http://schemas.openxmlformats.org/officeDocument/2006/relationships/image" Target="../media/image41.jpeg"/><Relationship Id="rId11" Type="http://schemas.openxmlformats.org/officeDocument/2006/relationships/image" Target="../media/image46.jpeg"/><Relationship Id="rId24" Type="http://schemas.openxmlformats.org/officeDocument/2006/relationships/image" Target="../media/image59.jpeg"/><Relationship Id="rId32" Type="http://schemas.openxmlformats.org/officeDocument/2006/relationships/image" Target="../media/image67.jpeg"/><Relationship Id="rId37" Type="http://schemas.openxmlformats.org/officeDocument/2006/relationships/image" Target="../media/image72.png"/><Relationship Id="rId5" Type="http://schemas.openxmlformats.org/officeDocument/2006/relationships/image" Target="../media/image40.png"/><Relationship Id="rId15" Type="http://schemas.openxmlformats.org/officeDocument/2006/relationships/image" Target="../media/image50.png"/><Relationship Id="rId23" Type="http://schemas.openxmlformats.org/officeDocument/2006/relationships/image" Target="../media/image58.png"/><Relationship Id="rId28" Type="http://schemas.openxmlformats.org/officeDocument/2006/relationships/image" Target="../media/image63.jpeg"/><Relationship Id="rId36" Type="http://schemas.openxmlformats.org/officeDocument/2006/relationships/image" Target="../media/image71.jpeg"/><Relationship Id="rId10" Type="http://schemas.openxmlformats.org/officeDocument/2006/relationships/image" Target="../media/image45.jpeg"/><Relationship Id="rId19" Type="http://schemas.openxmlformats.org/officeDocument/2006/relationships/image" Target="../media/image54.png"/><Relationship Id="rId31" Type="http://schemas.openxmlformats.org/officeDocument/2006/relationships/image" Target="../media/image66.jpeg"/><Relationship Id="rId4" Type="http://schemas.openxmlformats.org/officeDocument/2006/relationships/image" Target="../media/image39.jpeg"/><Relationship Id="rId9" Type="http://schemas.openxmlformats.org/officeDocument/2006/relationships/image" Target="../media/image44.jpeg"/><Relationship Id="rId14" Type="http://schemas.openxmlformats.org/officeDocument/2006/relationships/image" Target="../media/image49.png"/><Relationship Id="rId22" Type="http://schemas.openxmlformats.org/officeDocument/2006/relationships/image" Target="../media/image57.jpeg"/><Relationship Id="rId27" Type="http://schemas.openxmlformats.org/officeDocument/2006/relationships/image" Target="../media/image62.png"/><Relationship Id="rId30" Type="http://schemas.openxmlformats.org/officeDocument/2006/relationships/image" Target="../media/image65.png"/><Relationship Id="rId35" Type="http://schemas.openxmlformats.org/officeDocument/2006/relationships/image" Target="../media/image70.jpeg"/><Relationship Id="rId8" Type="http://schemas.openxmlformats.org/officeDocument/2006/relationships/image" Target="../media/image43.jpeg"/><Relationship Id="rId3" Type="http://schemas.openxmlformats.org/officeDocument/2006/relationships/image" Target="../media/image38.jpeg"/></Relationships>
</file>

<file path=xl/drawings/_rels/drawing6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91.png"/><Relationship Id="rId21" Type="http://schemas.openxmlformats.org/officeDocument/2006/relationships/image" Target="../media/image95.jpeg"/><Relationship Id="rId42" Type="http://schemas.openxmlformats.org/officeDocument/2006/relationships/image" Target="../media/image116.jpeg"/><Relationship Id="rId63" Type="http://schemas.openxmlformats.org/officeDocument/2006/relationships/image" Target="../media/image137.png"/><Relationship Id="rId84" Type="http://schemas.openxmlformats.org/officeDocument/2006/relationships/image" Target="../media/image158.jpeg"/><Relationship Id="rId16" Type="http://schemas.openxmlformats.org/officeDocument/2006/relationships/image" Target="../media/image90.jpeg"/><Relationship Id="rId107" Type="http://schemas.openxmlformats.org/officeDocument/2006/relationships/image" Target="../media/image181.png"/><Relationship Id="rId11" Type="http://schemas.openxmlformats.org/officeDocument/2006/relationships/image" Target="../media/image85.png"/><Relationship Id="rId32" Type="http://schemas.openxmlformats.org/officeDocument/2006/relationships/image" Target="../media/image106.jpeg"/><Relationship Id="rId37" Type="http://schemas.openxmlformats.org/officeDocument/2006/relationships/image" Target="../media/image111.png"/><Relationship Id="rId53" Type="http://schemas.openxmlformats.org/officeDocument/2006/relationships/image" Target="../media/image127.png"/><Relationship Id="rId58" Type="http://schemas.openxmlformats.org/officeDocument/2006/relationships/image" Target="../media/image132.png"/><Relationship Id="rId74" Type="http://schemas.openxmlformats.org/officeDocument/2006/relationships/image" Target="../media/image148.png"/><Relationship Id="rId79" Type="http://schemas.openxmlformats.org/officeDocument/2006/relationships/image" Target="../media/image153.jpeg"/><Relationship Id="rId102" Type="http://schemas.openxmlformats.org/officeDocument/2006/relationships/image" Target="../media/image176.JPG"/><Relationship Id="rId123" Type="http://schemas.openxmlformats.org/officeDocument/2006/relationships/image" Target="../media/image197.jpeg"/><Relationship Id="rId128" Type="http://schemas.openxmlformats.org/officeDocument/2006/relationships/image" Target="../media/image202.jpeg"/><Relationship Id="rId5" Type="http://schemas.openxmlformats.org/officeDocument/2006/relationships/image" Target="../media/image79.jpeg"/><Relationship Id="rId90" Type="http://schemas.openxmlformats.org/officeDocument/2006/relationships/image" Target="../media/image164.jpeg"/><Relationship Id="rId95" Type="http://schemas.openxmlformats.org/officeDocument/2006/relationships/image" Target="../media/image169.jpeg"/><Relationship Id="rId22" Type="http://schemas.openxmlformats.org/officeDocument/2006/relationships/image" Target="../media/image96.jpeg"/><Relationship Id="rId27" Type="http://schemas.openxmlformats.org/officeDocument/2006/relationships/image" Target="../media/image101.jpeg"/><Relationship Id="rId43" Type="http://schemas.openxmlformats.org/officeDocument/2006/relationships/image" Target="../media/image117.jpeg"/><Relationship Id="rId48" Type="http://schemas.openxmlformats.org/officeDocument/2006/relationships/image" Target="../media/image122.png"/><Relationship Id="rId64" Type="http://schemas.openxmlformats.org/officeDocument/2006/relationships/image" Target="../media/image138.jpeg"/><Relationship Id="rId69" Type="http://schemas.openxmlformats.org/officeDocument/2006/relationships/image" Target="../media/image143.png"/><Relationship Id="rId113" Type="http://schemas.openxmlformats.org/officeDocument/2006/relationships/image" Target="../media/image187.png"/><Relationship Id="rId118" Type="http://schemas.openxmlformats.org/officeDocument/2006/relationships/image" Target="../media/image192.jpeg"/><Relationship Id="rId134" Type="http://schemas.openxmlformats.org/officeDocument/2006/relationships/image" Target="../media/image208.png"/><Relationship Id="rId80" Type="http://schemas.openxmlformats.org/officeDocument/2006/relationships/image" Target="../media/image154.png"/><Relationship Id="rId85" Type="http://schemas.openxmlformats.org/officeDocument/2006/relationships/image" Target="../media/image159.jpeg"/><Relationship Id="rId12" Type="http://schemas.openxmlformats.org/officeDocument/2006/relationships/image" Target="../media/image86.png"/><Relationship Id="rId17" Type="http://schemas.openxmlformats.org/officeDocument/2006/relationships/image" Target="../media/image91.jpeg"/><Relationship Id="rId33" Type="http://schemas.openxmlformats.org/officeDocument/2006/relationships/image" Target="../media/image107.jpeg"/><Relationship Id="rId38" Type="http://schemas.openxmlformats.org/officeDocument/2006/relationships/image" Target="../media/image112.png"/><Relationship Id="rId59" Type="http://schemas.openxmlformats.org/officeDocument/2006/relationships/image" Target="../media/image133.jpeg"/><Relationship Id="rId103" Type="http://schemas.openxmlformats.org/officeDocument/2006/relationships/image" Target="../media/image177.png"/><Relationship Id="rId108" Type="http://schemas.openxmlformats.org/officeDocument/2006/relationships/image" Target="../media/image182.png"/><Relationship Id="rId124" Type="http://schemas.openxmlformats.org/officeDocument/2006/relationships/image" Target="../media/image198.jpg"/><Relationship Id="rId129" Type="http://schemas.openxmlformats.org/officeDocument/2006/relationships/image" Target="../media/image203.png"/><Relationship Id="rId54" Type="http://schemas.openxmlformats.org/officeDocument/2006/relationships/image" Target="../media/image128.jpeg"/><Relationship Id="rId70" Type="http://schemas.openxmlformats.org/officeDocument/2006/relationships/image" Target="../media/image144.png"/><Relationship Id="rId75" Type="http://schemas.openxmlformats.org/officeDocument/2006/relationships/image" Target="../media/image149.jpeg"/><Relationship Id="rId91" Type="http://schemas.openxmlformats.org/officeDocument/2006/relationships/image" Target="../media/image165.jpeg"/><Relationship Id="rId96" Type="http://schemas.openxmlformats.org/officeDocument/2006/relationships/image" Target="../media/image170.jpeg"/><Relationship Id="rId1" Type="http://schemas.openxmlformats.org/officeDocument/2006/relationships/image" Target="../media/image75.jpeg"/><Relationship Id="rId6" Type="http://schemas.openxmlformats.org/officeDocument/2006/relationships/image" Target="../media/image80.jpeg"/><Relationship Id="rId23" Type="http://schemas.openxmlformats.org/officeDocument/2006/relationships/image" Target="../media/image97.jpeg"/><Relationship Id="rId28" Type="http://schemas.openxmlformats.org/officeDocument/2006/relationships/image" Target="../media/image102.jpeg"/><Relationship Id="rId49" Type="http://schemas.openxmlformats.org/officeDocument/2006/relationships/image" Target="../media/image123.png"/><Relationship Id="rId114" Type="http://schemas.openxmlformats.org/officeDocument/2006/relationships/image" Target="../media/image188.png"/><Relationship Id="rId119" Type="http://schemas.openxmlformats.org/officeDocument/2006/relationships/image" Target="../media/image193.png"/><Relationship Id="rId44" Type="http://schemas.openxmlformats.org/officeDocument/2006/relationships/image" Target="../media/image118.png"/><Relationship Id="rId60" Type="http://schemas.openxmlformats.org/officeDocument/2006/relationships/image" Target="../media/image134.jpeg"/><Relationship Id="rId65" Type="http://schemas.openxmlformats.org/officeDocument/2006/relationships/image" Target="../media/image139.png"/><Relationship Id="rId81" Type="http://schemas.openxmlformats.org/officeDocument/2006/relationships/image" Target="../media/image155.png"/><Relationship Id="rId86" Type="http://schemas.openxmlformats.org/officeDocument/2006/relationships/image" Target="../media/image160.jpeg"/><Relationship Id="rId130" Type="http://schemas.openxmlformats.org/officeDocument/2006/relationships/image" Target="../media/image204.png"/><Relationship Id="rId13" Type="http://schemas.openxmlformats.org/officeDocument/2006/relationships/image" Target="../media/image87.png"/><Relationship Id="rId18" Type="http://schemas.openxmlformats.org/officeDocument/2006/relationships/image" Target="../media/image92.jpeg"/><Relationship Id="rId39" Type="http://schemas.openxmlformats.org/officeDocument/2006/relationships/image" Target="../media/image113.png"/><Relationship Id="rId109" Type="http://schemas.openxmlformats.org/officeDocument/2006/relationships/image" Target="../media/image183.png"/><Relationship Id="rId34" Type="http://schemas.openxmlformats.org/officeDocument/2006/relationships/image" Target="../media/image108.jpeg"/><Relationship Id="rId50" Type="http://schemas.openxmlformats.org/officeDocument/2006/relationships/image" Target="../media/image124.png"/><Relationship Id="rId55" Type="http://schemas.openxmlformats.org/officeDocument/2006/relationships/image" Target="../media/image129.jpeg"/><Relationship Id="rId76" Type="http://schemas.openxmlformats.org/officeDocument/2006/relationships/image" Target="../media/image150.jpeg"/><Relationship Id="rId97" Type="http://schemas.openxmlformats.org/officeDocument/2006/relationships/image" Target="../media/image171.jpeg"/><Relationship Id="rId104" Type="http://schemas.openxmlformats.org/officeDocument/2006/relationships/image" Target="../media/image178.png"/><Relationship Id="rId120" Type="http://schemas.openxmlformats.org/officeDocument/2006/relationships/image" Target="../media/image194.png"/><Relationship Id="rId125" Type="http://schemas.openxmlformats.org/officeDocument/2006/relationships/image" Target="../media/image199.jpeg"/><Relationship Id="rId7" Type="http://schemas.openxmlformats.org/officeDocument/2006/relationships/image" Target="../media/image81.png"/><Relationship Id="rId71" Type="http://schemas.openxmlformats.org/officeDocument/2006/relationships/image" Target="../media/image145.png"/><Relationship Id="rId92" Type="http://schemas.openxmlformats.org/officeDocument/2006/relationships/image" Target="../media/image166.jpeg"/><Relationship Id="rId2" Type="http://schemas.openxmlformats.org/officeDocument/2006/relationships/image" Target="../media/image76.jpeg"/><Relationship Id="rId29" Type="http://schemas.openxmlformats.org/officeDocument/2006/relationships/image" Target="../media/image103.jpeg"/><Relationship Id="rId24" Type="http://schemas.openxmlformats.org/officeDocument/2006/relationships/image" Target="../media/image98.jpeg"/><Relationship Id="rId40" Type="http://schemas.openxmlformats.org/officeDocument/2006/relationships/image" Target="../media/image114.jpeg"/><Relationship Id="rId45" Type="http://schemas.openxmlformats.org/officeDocument/2006/relationships/image" Target="../media/image119.jpeg"/><Relationship Id="rId66" Type="http://schemas.openxmlformats.org/officeDocument/2006/relationships/image" Target="../media/image140.jpeg"/><Relationship Id="rId87" Type="http://schemas.openxmlformats.org/officeDocument/2006/relationships/image" Target="../media/image161.jpeg"/><Relationship Id="rId110" Type="http://schemas.openxmlformats.org/officeDocument/2006/relationships/image" Target="../media/image184.png"/><Relationship Id="rId115" Type="http://schemas.openxmlformats.org/officeDocument/2006/relationships/image" Target="../media/image189.png"/><Relationship Id="rId131" Type="http://schemas.openxmlformats.org/officeDocument/2006/relationships/image" Target="../media/image205.png"/><Relationship Id="rId61" Type="http://schemas.openxmlformats.org/officeDocument/2006/relationships/image" Target="../media/image135.jpeg"/><Relationship Id="rId82" Type="http://schemas.openxmlformats.org/officeDocument/2006/relationships/image" Target="../media/image156.jpeg"/><Relationship Id="rId19" Type="http://schemas.openxmlformats.org/officeDocument/2006/relationships/image" Target="../media/image93.jpeg"/><Relationship Id="rId14" Type="http://schemas.openxmlformats.org/officeDocument/2006/relationships/image" Target="../media/image88.jpeg"/><Relationship Id="rId30" Type="http://schemas.openxmlformats.org/officeDocument/2006/relationships/image" Target="../media/image104.jpeg"/><Relationship Id="rId35" Type="http://schemas.openxmlformats.org/officeDocument/2006/relationships/image" Target="../media/image109.jpeg"/><Relationship Id="rId56" Type="http://schemas.openxmlformats.org/officeDocument/2006/relationships/image" Target="../media/image130.png"/><Relationship Id="rId77" Type="http://schemas.openxmlformats.org/officeDocument/2006/relationships/image" Target="../media/image151.jpeg"/><Relationship Id="rId100" Type="http://schemas.openxmlformats.org/officeDocument/2006/relationships/image" Target="../media/image174.jpeg"/><Relationship Id="rId105" Type="http://schemas.openxmlformats.org/officeDocument/2006/relationships/image" Target="../media/image179.png"/><Relationship Id="rId126" Type="http://schemas.openxmlformats.org/officeDocument/2006/relationships/image" Target="../media/image200.png"/><Relationship Id="rId8" Type="http://schemas.openxmlformats.org/officeDocument/2006/relationships/image" Target="../media/image82.jpeg"/><Relationship Id="rId51" Type="http://schemas.openxmlformats.org/officeDocument/2006/relationships/image" Target="../media/image125.jpeg"/><Relationship Id="rId72" Type="http://schemas.openxmlformats.org/officeDocument/2006/relationships/image" Target="../media/image146.png"/><Relationship Id="rId93" Type="http://schemas.openxmlformats.org/officeDocument/2006/relationships/image" Target="../media/image167.jpeg"/><Relationship Id="rId98" Type="http://schemas.openxmlformats.org/officeDocument/2006/relationships/image" Target="../media/image172.png"/><Relationship Id="rId121" Type="http://schemas.openxmlformats.org/officeDocument/2006/relationships/image" Target="../media/image195.png"/><Relationship Id="rId3" Type="http://schemas.openxmlformats.org/officeDocument/2006/relationships/image" Target="../media/image77.jpeg"/><Relationship Id="rId25" Type="http://schemas.openxmlformats.org/officeDocument/2006/relationships/image" Target="../media/image99.jpeg"/><Relationship Id="rId46" Type="http://schemas.openxmlformats.org/officeDocument/2006/relationships/image" Target="../media/image120.png"/><Relationship Id="rId67" Type="http://schemas.openxmlformats.org/officeDocument/2006/relationships/image" Target="../media/image141.jpeg"/><Relationship Id="rId116" Type="http://schemas.openxmlformats.org/officeDocument/2006/relationships/image" Target="../media/image190.png"/><Relationship Id="rId20" Type="http://schemas.openxmlformats.org/officeDocument/2006/relationships/image" Target="../media/image94.jpeg"/><Relationship Id="rId41" Type="http://schemas.openxmlformats.org/officeDocument/2006/relationships/image" Target="../media/image115.jpeg"/><Relationship Id="rId62" Type="http://schemas.openxmlformats.org/officeDocument/2006/relationships/image" Target="../media/image136.png"/><Relationship Id="rId83" Type="http://schemas.openxmlformats.org/officeDocument/2006/relationships/image" Target="../media/image157.jpeg"/><Relationship Id="rId88" Type="http://schemas.openxmlformats.org/officeDocument/2006/relationships/image" Target="../media/image162.jpeg"/><Relationship Id="rId111" Type="http://schemas.openxmlformats.org/officeDocument/2006/relationships/image" Target="../media/image185.jpeg"/><Relationship Id="rId132" Type="http://schemas.openxmlformats.org/officeDocument/2006/relationships/image" Target="../media/image206.png"/><Relationship Id="rId15" Type="http://schemas.openxmlformats.org/officeDocument/2006/relationships/image" Target="../media/image89.jpeg"/><Relationship Id="rId36" Type="http://schemas.openxmlformats.org/officeDocument/2006/relationships/image" Target="../media/image110.jpeg"/><Relationship Id="rId57" Type="http://schemas.openxmlformats.org/officeDocument/2006/relationships/image" Target="../media/image131.jpeg"/><Relationship Id="rId106" Type="http://schemas.openxmlformats.org/officeDocument/2006/relationships/image" Target="../media/image180.png"/><Relationship Id="rId127" Type="http://schemas.openxmlformats.org/officeDocument/2006/relationships/image" Target="../media/image201.jpeg"/><Relationship Id="rId10" Type="http://schemas.openxmlformats.org/officeDocument/2006/relationships/image" Target="../media/image84.jpeg"/><Relationship Id="rId31" Type="http://schemas.openxmlformats.org/officeDocument/2006/relationships/image" Target="../media/image105.jpeg"/><Relationship Id="rId52" Type="http://schemas.openxmlformats.org/officeDocument/2006/relationships/image" Target="../media/image126.jpeg"/><Relationship Id="rId73" Type="http://schemas.openxmlformats.org/officeDocument/2006/relationships/image" Target="../media/image147.png"/><Relationship Id="rId78" Type="http://schemas.openxmlformats.org/officeDocument/2006/relationships/image" Target="../media/image152.jpeg"/><Relationship Id="rId94" Type="http://schemas.openxmlformats.org/officeDocument/2006/relationships/image" Target="../media/image168.jpeg"/><Relationship Id="rId99" Type="http://schemas.openxmlformats.org/officeDocument/2006/relationships/image" Target="../media/image173.jpeg"/><Relationship Id="rId101" Type="http://schemas.openxmlformats.org/officeDocument/2006/relationships/image" Target="../media/image175.jpeg"/><Relationship Id="rId122" Type="http://schemas.openxmlformats.org/officeDocument/2006/relationships/image" Target="../media/image196.png"/><Relationship Id="rId4" Type="http://schemas.openxmlformats.org/officeDocument/2006/relationships/image" Target="../media/image78.jpeg"/><Relationship Id="rId9" Type="http://schemas.openxmlformats.org/officeDocument/2006/relationships/image" Target="../media/image83.png"/><Relationship Id="rId26" Type="http://schemas.openxmlformats.org/officeDocument/2006/relationships/image" Target="../media/image100.jpeg"/><Relationship Id="rId47" Type="http://schemas.openxmlformats.org/officeDocument/2006/relationships/image" Target="../media/image121.jpeg"/><Relationship Id="rId68" Type="http://schemas.openxmlformats.org/officeDocument/2006/relationships/image" Target="../media/image142.jpeg"/><Relationship Id="rId89" Type="http://schemas.openxmlformats.org/officeDocument/2006/relationships/image" Target="../media/image163.jpeg"/><Relationship Id="rId112" Type="http://schemas.openxmlformats.org/officeDocument/2006/relationships/image" Target="../media/image186.png"/><Relationship Id="rId133" Type="http://schemas.openxmlformats.org/officeDocument/2006/relationships/image" Target="../media/image207.pn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21.png"/><Relationship Id="rId18" Type="http://schemas.openxmlformats.org/officeDocument/2006/relationships/image" Target="../media/image226.jpeg"/><Relationship Id="rId26" Type="http://schemas.openxmlformats.org/officeDocument/2006/relationships/image" Target="../media/image234.jpeg"/><Relationship Id="rId39" Type="http://schemas.openxmlformats.org/officeDocument/2006/relationships/image" Target="../media/image247.png"/><Relationship Id="rId21" Type="http://schemas.openxmlformats.org/officeDocument/2006/relationships/image" Target="../media/image229.jpeg"/><Relationship Id="rId34" Type="http://schemas.openxmlformats.org/officeDocument/2006/relationships/image" Target="../media/image242.jpeg"/><Relationship Id="rId7" Type="http://schemas.openxmlformats.org/officeDocument/2006/relationships/image" Target="../media/image215.png"/><Relationship Id="rId2" Type="http://schemas.openxmlformats.org/officeDocument/2006/relationships/image" Target="../media/image210.jpeg"/><Relationship Id="rId16" Type="http://schemas.openxmlformats.org/officeDocument/2006/relationships/image" Target="../media/image224.png"/><Relationship Id="rId20" Type="http://schemas.openxmlformats.org/officeDocument/2006/relationships/image" Target="../media/image228.jpeg"/><Relationship Id="rId29" Type="http://schemas.openxmlformats.org/officeDocument/2006/relationships/image" Target="../media/image237.jpeg"/><Relationship Id="rId41" Type="http://schemas.openxmlformats.org/officeDocument/2006/relationships/image" Target="../media/image249.png"/><Relationship Id="rId1" Type="http://schemas.openxmlformats.org/officeDocument/2006/relationships/image" Target="../media/image209.jpeg"/><Relationship Id="rId6" Type="http://schemas.openxmlformats.org/officeDocument/2006/relationships/image" Target="../media/image214.jpeg"/><Relationship Id="rId11" Type="http://schemas.openxmlformats.org/officeDocument/2006/relationships/image" Target="../media/image219.jpeg"/><Relationship Id="rId24" Type="http://schemas.openxmlformats.org/officeDocument/2006/relationships/image" Target="../media/image232.jpeg"/><Relationship Id="rId32" Type="http://schemas.openxmlformats.org/officeDocument/2006/relationships/image" Target="../media/image240.jpeg"/><Relationship Id="rId37" Type="http://schemas.openxmlformats.org/officeDocument/2006/relationships/image" Target="../media/image245.png"/><Relationship Id="rId40" Type="http://schemas.openxmlformats.org/officeDocument/2006/relationships/image" Target="../media/image248.jpeg"/><Relationship Id="rId5" Type="http://schemas.openxmlformats.org/officeDocument/2006/relationships/image" Target="../media/image213.png"/><Relationship Id="rId15" Type="http://schemas.openxmlformats.org/officeDocument/2006/relationships/image" Target="../media/image223.png"/><Relationship Id="rId23" Type="http://schemas.openxmlformats.org/officeDocument/2006/relationships/image" Target="../media/image231.jpeg"/><Relationship Id="rId28" Type="http://schemas.openxmlformats.org/officeDocument/2006/relationships/image" Target="../media/image236.jpeg"/><Relationship Id="rId36" Type="http://schemas.openxmlformats.org/officeDocument/2006/relationships/image" Target="../media/image244.png"/><Relationship Id="rId10" Type="http://schemas.openxmlformats.org/officeDocument/2006/relationships/image" Target="../media/image218.png"/><Relationship Id="rId19" Type="http://schemas.openxmlformats.org/officeDocument/2006/relationships/image" Target="../media/image227.jpeg"/><Relationship Id="rId31" Type="http://schemas.openxmlformats.org/officeDocument/2006/relationships/image" Target="../media/image239.jpeg"/><Relationship Id="rId4" Type="http://schemas.openxmlformats.org/officeDocument/2006/relationships/image" Target="../media/image212.jpeg"/><Relationship Id="rId9" Type="http://schemas.openxmlformats.org/officeDocument/2006/relationships/image" Target="../media/image217.jpeg"/><Relationship Id="rId14" Type="http://schemas.openxmlformats.org/officeDocument/2006/relationships/image" Target="../media/image222.png"/><Relationship Id="rId22" Type="http://schemas.openxmlformats.org/officeDocument/2006/relationships/image" Target="../media/image230.png"/><Relationship Id="rId27" Type="http://schemas.openxmlformats.org/officeDocument/2006/relationships/image" Target="../media/image235.jpeg"/><Relationship Id="rId30" Type="http://schemas.openxmlformats.org/officeDocument/2006/relationships/image" Target="../media/image238.png"/><Relationship Id="rId35" Type="http://schemas.openxmlformats.org/officeDocument/2006/relationships/image" Target="../media/image243.png"/><Relationship Id="rId8" Type="http://schemas.openxmlformats.org/officeDocument/2006/relationships/image" Target="../media/image216.png"/><Relationship Id="rId3" Type="http://schemas.openxmlformats.org/officeDocument/2006/relationships/image" Target="../media/image211.jpeg"/><Relationship Id="rId12" Type="http://schemas.openxmlformats.org/officeDocument/2006/relationships/image" Target="../media/image220.png"/><Relationship Id="rId17" Type="http://schemas.openxmlformats.org/officeDocument/2006/relationships/image" Target="../media/image225.jpeg"/><Relationship Id="rId25" Type="http://schemas.openxmlformats.org/officeDocument/2006/relationships/image" Target="../media/image233.jpeg"/><Relationship Id="rId33" Type="http://schemas.openxmlformats.org/officeDocument/2006/relationships/image" Target="../media/image241.jpeg"/><Relationship Id="rId38" Type="http://schemas.openxmlformats.org/officeDocument/2006/relationships/image" Target="../media/image24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68580</xdr:colOff>
      <xdr:row>1</xdr:row>
      <xdr:rowOff>38100</xdr:rowOff>
    </xdr:from>
    <xdr:to>
      <xdr:col>0</xdr:col>
      <xdr:colOff>1112520</xdr:colOff>
      <xdr:row>1</xdr:row>
      <xdr:rowOff>990600</xdr:rowOff>
    </xdr:to>
    <xdr:pic>
      <xdr:nvPicPr>
        <xdr:cNvPr id="67763" name="Рисунок 3">
          <a:extLst>
            <a:ext uri="{FF2B5EF4-FFF2-40B4-BE49-F238E27FC236}">
              <a16:creationId xmlns:a16="http://schemas.microsoft.com/office/drawing/2014/main" id="{00000000-0008-0000-0100-0000B308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601980"/>
          <a:ext cx="104394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</xdr:colOff>
      <xdr:row>2</xdr:row>
      <xdr:rowOff>60960</xdr:rowOff>
    </xdr:from>
    <xdr:to>
      <xdr:col>0</xdr:col>
      <xdr:colOff>1087899</xdr:colOff>
      <xdr:row>2</xdr:row>
      <xdr:rowOff>993360</xdr:rowOff>
    </xdr:to>
    <xdr:pic>
      <xdr:nvPicPr>
        <xdr:cNvPr id="3" name="Рисунок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1653540"/>
          <a:ext cx="1019319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3</xdr:row>
      <xdr:rowOff>54126</xdr:rowOff>
    </xdr:from>
    <xdr:to>
      <xdr:col>0</xdr:col>
      <xdr:colOff>1076325</xdr:colOff>
      <xdr:row>3</xdr:row>
      <xdr:rowOff>999058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4775" y="2654451"/>
          <a:ext cx="971550" cy="9449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160020</xdr:colOff>
      <xdr:row>5</xdr:row>
      <xdr:rowOff>45720</xdr:rowOff>
    </xdr:from>
    <xdr:to>
      <xdr:col>0</xdr:col>
      <xdr:colOff>1059180</xdr:colOff>
      <xdr:row>5</xdr:row>
      <xdr:rowOff>998220</xdr:rowOff>
    </xdr:to>
    <xdr:pic>
      <xdr:nvPicPr>
        <xdr:cNvPr id="103642" name="Рисунок 1">
          <a:extLst>
            <a:ext uri="{FF2B5EF4-FFF2-40B4-BE49-F238E27FC236}">
              <a16:creationId xmlns:a16="http://schemas.microsoft.com/office/drawing/2014/main" id="{00000000-0008-0000-0200-0000DA94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878" b="14198"/>
        <a:stretch>
          <a:fillRect/>
        </a:stretch>
      </xdr:blipFill>
      <xdr:spPr bwMode="auto">
        <a:xfrm>
          <a:off x="160020" y="3665220"/>
          <a:ext cx="89916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106680</xdr:colOff>
      <xdr:row>9</xdr:row>
      <xdr:rowOff>30480</xdr:rowOff>
    </xdr:from>
    <xdr:to>
      <xdr:col>0</xdr:col>
      <xdr:colOff>1082040</xdr:colOff>
      <xdr:row>9</xdr:row>
      <xdr:rowOff>1013460</xdr:rowOff>
    </xdr:to>
    <xdr:pic>
      <xdr:nvPicPr>
        <xdr:cNvPr id="103643" name="Рисунок 8">
          <a:extLst>
            <a:ext uri="{FF2B5EF4-FFF2-40B4-BE49-F238E27FC236}">
              <a16:creationId xmlns:a16="http://schemas.microsoft.com/office/drawing/2014/main" id="{00000000-0008-0000-0200-0000DB94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46" t="7552" r="346" b="16666"/>
        <a:stretch>
          <a:fillRect/>
        </a:stretch>
      </xdr:blipFill>
      <xdr:spPr bwMode="auto">
        <a:xfrm>
          <a:off x="106680" y="4678680"/>
          <a:ext cx="975360" cy="982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</xdr:colOff>
      <xdr:row>10</xdr:row>
      <xdr:rowOff>53340</xdr:rowOff>
    </xdr:from>
    <xdr:to>
      <xdr:col>0</xdr:col>
      <xdr:colOff>1013460</xdr:colOff>
      <xdr:row>10</xdr:row>
      <xdr:rowOff>975360</xdr:rowOff>
    </xdr:to>
    <xdr:pic>
      <xdr:nvPicPr>
        <xdr:cNvPr id="103644" name="Рисунок 1">
          <a:extLst>
            <a:ext uri="{FF2B5EF4-FFF2-40B4-BE49-F238E27FC236}">
              <a16:creationId xmlns:a16="http://schemas.microsoft.com/office/drawing/2014/main" id="{00000000-0008-0000-0200-0000DC9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5730240"/>
          <a:ext cx="94488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91440</xdr:colOff>
      <xdr:row>1</xdr:row>
      <xdr:rowOff>30480</xdr:rowOff>
    </xdr:from>
    <xdr:to>
      <xdr:col>0</xdr:col>
      <xdr:colOff>1104900</xdr:colOff>
      <xdr:row>1</xdr:row>
      <xdr:rowOff>960120</xdr:rowOff>
    </xdr:to>
    <xdr:pic>
      <xdr:nvPicPr>
        <xdr:cNvPr id="103645" name="Рисунок 3">
          <a:extLst>
            <a:ext uri="{FF2B5EF4-FFF2-40B4-BE49-F238E27FC236}">
              <a16:creationId xmlns:a16="http://schemas.microsoft.com/office/drawing/2014/main" id="{00000000-0008-0000-0200-0000DD9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" y="1592580"/>
          <a:ext cx="1013460" cy="929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93450</xdr:colOff>
      <xdr:row>3</xdr:row>
      <xdr:rowOff>59265</xdr:rowOff>
    </xdr:from>
    <xdr:to>
      <xdr:col>0</xdr:col>
      <xdr:colOff>1033419</xdr:colOff>
      <xdr:row>3</xdr:row>
      <xdr:rowOff>991665</xdr:rowOff>
    </xdr:to>
    <xdr:pic>
      <xdr:nvPicPr>
        <xdr:cNvPr id="103646" name="Рисунок 6">
          <a:extLst>
            <a:ext uri="{FF2B5EF4-FFF2-40B4-BE49-F238E27FC236}">
              <a16:creationId xmlns:a16="http://schemas.microsoft.com/office/drawing/2014/main" id="{00000000-0008-0000-0200-0000DE9401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120" b="20483"/>
        <a:stretch/>
      </xdr:blipFill>
      <xdr:spPr bwMode="auto">
        <a:xfrm>
          <a:off x="93450" y="2658532"/>
          <a:ext cx="939969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91440</xdr:colOff>
      <xdr:row>8</xdr:row>
      <xdr:rowOff>83820</xdr:rowOff>
    </xdr:from>
    <xdr:to>
      <xdr:col>0</xdr:col>
      <xdr:colOff>1051560</xdr:colOff>
      <xdr:row>8</xdr:row>
      <xdr:rowOff>922020</xdr:rowOff>
    </xdr:to>
    <xdr:pic>
      <xdr:nvPicPr>
        <xdr:cNvPr id="103647" name="Рисунок 3">
          <a:extLst>
            <a:ext uri="{FF2B5EF4-FFF2-40B4-BE49-F238E27FC236}">
              <a16:creationId xmlns:a16="http://schemas.microsoft.com/office/drawing/2014/main" id="{00000000-0008-0000-0200-0000DF9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" y="647700"/>
          <a:ext cx="96012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112290</xdr:colOff>
      <xdr:row>2</xdr:row>
      <xdr:rowOff>76201</xdr:rowOff>
    </xdr:from>
    <xdr:to>
      <xdr:col>0</xdr:col>
      <xdr:colOff>1044690</xdr:colOff>
      <xdr:row>2</xdr:row>
      <xdr:rowOff>981613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97" r="38919"/>
        <a:stretch/>
      </xdr:blipFill>
      <xdr:spPr>
        <a:xfrm rot="5400000">
          <a:off x="125784" y="9892507"/>
          <a:ext cx="905412" cy="932400"/>
        </a:xfrm>
        <a:prstGeom prst="rect">
          <a:avLst/>
        </a:prstGeom>
      </xdr:spPr>
    </xdr:pic>
    <xdr:clientData/>
  </xdr:twoCellAnchor>
  <xdr:twoCellAnchor editAs="oneCell">
    <xdr:from>
      <xdr:col>0</xdr:col>
      <xdr:colOff>35719</xdr:colOff>
      <xdr:row>7</xdr:row>
      <xdr:rowOff>83343</xdr:rowOff>
    </xdr:from>
    <xdr:to>
      <xdr:col>0</xdr:col>
      <xdr:colOff>1053839</xdr:colOff>
      <xdr:row>7</xdr:row>
      <xdr:rowOff>961243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5719" y="5726906"/>
          <a:ext cx="1018120" cy="877900"/>
        </a:xfrm>
        <a:prstGeom prst="rect">
          <a:avLst/>
        </a:prstGeom>
      </xdr:spPr>
    </xdr:pic>
    <xdr:clientData/>
  </xdr:twoCellAnchor>
  <xdr:twoCellAnchor editAs="oneCell">
    <xdr:from>
      <xdr:col>0</xdr:col>
      <xdr:colOff>59531</xdr:colOff>
      <xdr:row>4</xdr:row>
      <xdr:rowOff>95250</xdr:rowOff>
    </xdr:from>
    <xdr:to>
      <xdr:col>0</xdr:col>
      <xdr:colOff>1059362</xdr:colOff>
      <xdr:row>4</xdr:row>
      <xdr:rowOff>948764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9531" y="3690938"/>
          <a:ext cx="999831" cy="853514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6</xdr:row>
      <xdr:rowOff>47625</xdr:rowOff>
    </xdr:from>
    <xdr:to>
      <xdr:col>0</xdr:col>
      <xdr:colOff>1032902</xdr:colOff>
      <xdr:row>6</xdr:row>
      <xdr:rowOff>981074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74" t="7973" r="6312" b="28406"/>
        <a:stretch/>
      </xdr:blipFill>
      <xdr:spPr>
        <a:xfrm>
          <a:off x="123825" y="9839325"/>
          <a:ext cx="909077" cy="9334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176275</xdr:colOff>
      <xdr:row>16</xdr:row>
      <xdr:rowOff>30480</xdr:rowOff>
    </xdr:from>
    <xdr:to>
      <xdr:col>0</xdr:col>
      <xdr:colOff>1113535</xdr:colOff>
      <xdr:row>16</xdr:row>
      <xdr:rowOff>975360</xdr:rowOff>
    </xdr:to>
    <xdr:pic>
      <xdr:nvPicPr>
        <xdr:cNvPr id="104976" name="Рисунок 1">
          <a:extLst>
            <a:ext uri="{FF2B5EF4-FFF2-40B4-BE49-F238E27FC236}">
              <a16:creationId xmlns:a16="http://schemas.microsoft.com/office/drawing/2014/main" id="{00000000-0008-0000-0300-0000109A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579" t="8534" r="22366" b="51268"/>
        <a:stretch>
          <a:fillRect/>
        </a:stretch>
      </xdr:blipFill>
      <xdr:spPr bwMode="auto">
        <a:xfrm>
          <a:off x="176275" y="12679680"/>
          <a:ext cx="937260" cy="944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168655</xdr:colOff>
      <xdr:row>18</xdr:row>
      <xdr:rowOff>68580</xdr:rowOff>
    </xdr:from>
    <xdr:to>
      <xdr:col>0</xdr:col>
      <xdr:colOff>1121155</xdr:colOff>
      <xdr:row>18</xdr:row>
      <xdr:rowOff>975360</xdr:rowOff>
    </xdr:to>
    <xdr:pic>
      <xdr:nvPicPr>
        <xdr:cNvPr id="104978" name="Рисунок 8">
          <a:extLst>
            <a:ext uri="{FF2B5EF4-FFF2-40B4-BE49-F238E27FC236}">
              <a16:creationId xmlns:a16="http://schemas.microsoft.com/office/drawing/2014/main" id="{00000000-0008-0000-0300-0000129A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655" y="13746480"/>
          <a:ext cx="952500" cy="906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189675</xdr:colOff>
      <xdr:row>1</xdr:row>
      <xdr:rowOff>38099</xdr:rowOff>
    </xdr:from>
    <xdr:to>
      <xdr:col>0</xdr:col>
      <xdr:colOff>1100136</xdr:colOff>
      <xdr:row>1</xdr:row>
      <xdr:rowOff>970499</xdr:rowOff>
    </xdr:to>
    <xdr:pic>
      <xdr:nvPicPr>
        <xdr:cNvPr id="104980" name="Рисунок 1">
          <a:extLst>
            <a:ext uri="{FF2B5EF4-FFF2-40B4-BE49-F238E27FC236}">
              <a16:creationId xmlns:a16="http://schemas.microsoft.com/office/drawing/2014/main" id="{00000000-0008-0000-0300-0000149A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834" t="18924" r="19863" b="35586"/>
        <a:stretch/>
      </xdr:blipFill>
      <xdr:spPr bwMode="auto">
        <a:xfrm>
          <a:off x="189675" y="7600949"/>
          <a:ext cx="910461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182905</xdr:colOff>
      <xdr:row>17</xdr:row>
      <xdr:rowOff>49530</xdr:rowOff>
    </xdr:from>
    <xdr:to>
      <xdr:col>0</xdr:col>
      <xdr:colOff>1106905</xdr:colOff>
      <xdr:row>17</xdr:row>
      <xdr:rowOff>981930</xdr:rowOff>
    </xdr:to>
    <xdr:pic>
      <xdr:nvPicPr>
        <xdr:cNvPr id="104983" name="Рисунок 3">
          <a:extLst>
            <a:ext uri="{FF2B5EF4-FFF2-40B4-BE49-F238E27FC236}">
              <a16:creationId xmlns:a16="http://schemas.microsoft.com/office/drawing/2014/main" id="{00000000-0008-0000-0300-0000179A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500"/>
        <a:stretch/>
      </xdr:blipFill>
      <xdr:spPr bwMode="auto">
        <a:xfrm>
          <a:off x="182905" y="11670030"/>
          <a:ext cx="924000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164845</xdr:colOff>
      <xdr:row>15</xdr:row>
      <xdr:rowOff>22860</xdr:rowOff>
    </xdr:from>
    <xdr:to>
      <xdr:col>0</xdr:col>
      <xdr:colOff>1124965</xdr:colOff>
      <xdr:row>15</xdr:row>
      <xdr:rowOff>984885</xdr:rowOff>
    </xdr:to>
    <xdr:pic>
      <xdr:nvPicPr>
        <xdr:cNvPr id="104986" name="Рисунок 3">
          <a:extLst>
            <a:ext uri="{FF2B5EF4-FFF2-40B4-BE49-F238E27FC236}">
              <a16:creationId xmlns:a16="http://schemas.microsoft.com/office/drawing/2014/main" id="{00000000-0008-0000-0300-00001A9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45" y="5585460"/>
          <a:ext cx="96012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141985</xdr:colOff>
      <xdr:row>4</xdr:row>
      <xdr:rowOff>60960</xdr:rowOff>
    </xdr:from>
    <xdr:to>
      <xdr:col>0</xdr:col>
      <xdr:colOff>1147825</xdr:colOff>
      <xdr:row>4</xdr:row>
      <xdr:rowOff>937260</xdr:rowOff>
    </xdr:to>
    <xdr:pic>
      <xdr:nvPicPr>
        <xdr:cNvPr id="104988" name="Рисунок 3">
          <a:extLst>
            <a:ext uri="{FF2B5EF4-FFF2-40B4-BE49-F238E27FC236}">
              <a16:creationId xmlns:a16="http://schemas.microsoft.com/office/drawing/2014/main" id="{00000000-0008-0000-0300-00001C9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985" y="2623185"/>
          <a:ext cx="100584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149605</xdr:colOff>
      <xdr:row>3</xdr:row>
      <xdr:rowOff>38100</xdr:rowOff>
    </xdr:from>
    <xdr:to>
      <xdr:col>0</xdr:col>
      <xdr:colOff>1140205</xdr:colOff>
      <xdr:row>3</xdr:row>
      <xdr:rowOff>960120</xdr:rowOff>
    </xdr:to>
    <xdr:pic>
      <xdr:nvPicPr>
        <xdr:cNvPr id="104989" name="Рисунок 6">
          <a:extLst>
            <a:ext uri="{FF2B5EF4-FFF2-40B4-BE49-F238E27FC236}">
              <a16:creationId xmlns:a16="http://schemas.microsoft.com/office/drawing/2014/main" id="{00000000-0008-0000-0300-00001D9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605" y="3600450"/>
          <a:ext cx="99060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187705</xdr:colOff>
      <xdr:row>6</xdr:row>
      <xdr:rowOff>60960</xdr:rowOff>
    </xdr:from>
    <xdr:to>
      <xdr:col>0</xdr:col>
      <xdr:colOff>1102105</xdr:colOff>
      <xdr:row>6</xdr:row>
      <xdr:rowOff>960120</xdr:rowOff>
    </xdr:to>
    <xdr:pic>
      <xdr:nvPicPr>
        <xdr:cNvPr id="104990" name="Рисунок 9">
          <a:extLst>
            <a:ext uri="{FF2B5EF4-FFF2-40B4-BE49-F238E27FC236}">
              <a16:creationId xmlns:a16="http://schemas.microsoft.com/office/drawing/2014/main" id="{00000000-0008-0000-0300-00001E9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705" y="4623435"/>
          <a:ext cx="914400" cy="899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161035</xdr:colOff>
      <xdr:row>5</xdr:row>
      <xdr:rowOff>45720</xdr:rowOff>
    </xdr:from>
    <xdr:to>
      <xdr:col>0</xdr:col>
      <xdr:colOff>1128775</xdr:colOff>
      <xdr:row>5</xdr:row>
      <xdr:rowOff>967740</xdr:rowOff>
    </xdr:to>
    <xdr:pic>
      <xdr:nvPicPr>
        <xdr:cNvPr id="104991" name="Рисунок 3">
          <a:extLst>
            <a:ext uri="{FF2B5EF4-FFF2-40B4-BE49-F238E27FC236}">
              <a16:creationId xmlns:a16="http://schemas.microsoft.com/office/drawing/2014/main" id="{00000000-0008-0000-0300-00001F9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035" y="1607820"/>
          <a:ext cx="96774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161035</xdr:colOff>
      <xdr:row>19</xdr:row>
      <xdr:rowOff>38100</xdr:rowOff>
    </xdr:from>
    <xdr:to>
      <xdr:col>0</xdr:col>
      <xdr:colOff>1128775</xdr:colOff>
      <xdr:row>19</xdr:row>
      <xdr:rowOff>990600</xdr:rowOff>
    </xdr:to>
    <xdr:pic>
      <xdr:nvPicPr>
        <xdr:cNvPr id="19" name="Рисунок 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275" b="18642"/>
        <a:stretch>
          <a:fillRect/>
        </a:stretch>
      </xdr:blipFill>
      <xdr:spPr bwMode="auto">
        <a:xfrm>
          <a:off x="161035" y="18802350"/>
          <a:ext cx="96774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188714</xdr:colOff>
      <xdr:row>9</xdr:row>
      <xdr:rowOff>24988</xdr:rowOff>
    </xdr:from>
    <xdr:to>
      <xdr:col>0</xdr:col>
      <xdr:colOff>1101096</xdr:colOff>
      <xdr:row>9</xdr:row>
      <xdr:rowOff>960988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3058"/>
        <a:stretch/>
      </xdr:blipFill>
      <xdr:spPr>
        <a:xfrm>
          <a:off x="188714" y="586963"/>
          <a:ext cx="912382" cy="936000"/>
        </a:xfrm>
        <a:prstGeom prst="rect">
          <a:avLst/>
        </a:prstGeom>
      </xdr:spPr>
    </xdr:pic>
    <xdr:clientData/>
  </xdr:twoCellAnchor>
  <xdr:twoCellAnchor>
    <xdr:from>
      <xdr:col>0</xdr:col>
      <xdr:colOff>144764</xdr:colOff>
      <xdr:row>11</xdr:row>
      <xdr:rowOff>38100</xdr:rowOff>
    </xdr:from>
    <xdr:to>
      <xdr:col>0</xdr:col>
      <xdr:colOff>1145046</xdr:colOff>
      <xdr:row>11</xdr:row>
      <xdr:rowOff>970500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330" b="23760"/>
        <a:stretch/>
      </xdr:blipFill>
      <xdr:spPr>
        <a:xfrm>
          <a:off x="144764" y="6600825"/>
          <a:ext cx="1000282" cy="932400"/>
        </a:xfrm>
        <a:prstGeom prst="rect">
          <a:avLst/>
        </a:prstGeom>
      </xdr:spPr>
    </xdr:pic>
    <xdr:clientData/>
  </xdr:twoCellAnchor>
  <xdr:twoCellAnchor editAs="oneCell">
    <xdr:from>
      <xdr:col>0</xdr:col>
      <xdr:colOff>145667</xdr:colOff>
      <xdr:row>2</xdr:row>
      <xdr:rowOff>47625</xdr:rowOff>
    </xdr:from>
    <xdr:to>
      <xdr:col>0</xdr:col>
      <xdr:colOff>1144143</xdr:colOff>
      <xdr:row>2</xdr:row>
      <xdr:rowOff>980025</xdr:rowOff>
    </xdr:to>
    <xdr:pic>
      <xdr:nvPicPr>
        <xdr:cNvPr id="23" name="Рисунок 3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703" b="20831"/>
        <a:stretch>
          <a:fillRect/>
        </a:stretch>
      </xdr:blipFill>
      <xdr:spPr bwMode="auto">
        <a:xfrm>
          <a:off x="145667" y="19840575"/>
          <a:ext cx="998476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226219</xdr:colOff>
      <xdr:row>13</xdr:row>
      <xdr:rowOff>107156</xdr:rowOff>
    </xdr:from>
    <xdr:to>
      <xdr:col>0</xdr:col>
      <xdr:colOff>1073636</xdr:colOff>
      <xdr:row>13</xdr:row>
      <xdr:rowOff>942380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26219" y="8572500"/>
          <a:ext cx="847417" cy="835224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7</xdr:row>
      <xdr:rowOff>83344</xdr:rowOff>
    </xdr:from>
    <xdr:to>
      <xdr:col>0</xdr:col>
      <xdr:colOff>1106126</xdr:colOff>
      <xdr:row>7</xdr:row>
      <xdr:rowOff>967341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42875" y="9536907"/>
          <a:ext cx="963251" cy="883997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</xdr:colOff>
      <xdr:row>10</xdr:row>
      <xdr:rowOff>71438</xdr:rowOff>
    </xdr:from>
    <xdr:to>
      <xdr:col>0</xdr:col>
      <xdr:colOff>1120040</xdr:colOff>
      <xdr:row>10</xdr:row>
      <xdr:rowOff>1003920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1437" y="11572876"/>
          <a:ext cx="1048603" cy="920576"/>
        </a:xfrm>
        <a:prstGeom prst="rect">
          <a:avLst/>
        </a:prstGeom>
      </xdr:spPr>
    </xdr:pic>
    <xdr:clientData/>
  </xdr:twoCellAnchor>
  <xdr:twoCellAnchor editAs="oneCell">
    <xdr:from>
      <xdr:col>0</xdr:col>
      <xdr:colOff>178594</xdr:colOff>
      <xdr:row>8</xdr:row>
      <xdr:rowOff>95250</xdr:rowOff>
    </xdr:from>
    <xdr:to>
      <xdr:col>0</xdr:col>
      <xdr:colOff>1001625</xdr:colOff>
      <xdr:row>8</xdr:row>
      <xdr:rowOff>985343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8594" y="10572750"/>
          <a:ext cx="823031" cy="890093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12</xdr:row>
      <xdr:rowOff>71437</xdr:rowOff>
    </xdr:from>
    <xdr:to>
      <xdr:col>0</xdr:col>
      <xdr:colOff>1024863</xdr:colOff>
      <xdr:row>12</xdr:row>
      <xdr:rowOff>943241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26218" y="5572125"/>
          <a:ext cx="798645" cy="871804"/>
        </a:xfrm>
        <a:prstGeom prst="rect">
          <a:avLst/>
        </a:prstGeom>
      </xdr:spPr>
    </xdr:pic>
    <xdr:clientData/>
  </xdr:twoCellAnchor>
  <xdr:twoCellAnchor>
    <xdr:from>
      <xdr:col>0</xdr:col>
      <xdr:colOff>285750</xdr:colOff>
      <xdr:row>14</xdr:row>
      <xdr:rowOff>47625</xdr:rowOff>
    </xdr:from>
    <xdr:to>
      <xdr:col>0</xdr:col>
      <xdr:colOff>1031670</xdr:colOff>
      <xdr:row>14</xdr:row>
      <xdr:rowOff>980025</xdr:rowOff>
    </xdr:to>
    <xdr:pic>
      <xdr:nvPicPr>
        <xdr:cNvPr id="20" name="Рисунок 1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4" t="22681" r="18350" b="18970"/>
        <a:stretch>
          <a:fillRect/>
        </a:stretch>
      </xdr:blipFill>
      <xdr:spPr bwMode="auto">
        <a:xfrm>
          <a:off x="285750" y="18840450"/>
          <a:ext cx="745920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209551</xdr:colOff>
      <xdr:row>1</xdr:row>
      <xdr:rowOff>51435</xdr:rowOff>
    </xdr:from>
    <xdr:to>
      <xdr:col>0</xdr:col>
      <xdr:colOff>1200150</xdr:colOff>
      <xdr:row>1</xdr:row>
      <xdr:rowOff>983835</xdr:rowOff>
    </xdr:to>
    <xdr:pic>
      <xdr:nvPicPr>
        <xdr:cNvPr id="4378" name="Рисунок 2">
          <a:extLst>
            <a:ext uri="{FF2B5EF4-FFF2-40B4-BE49-F238E27FC236}">
              <a16:creationId xmlns:a16="http://schemas.microsoft.com/office/drawing/2014/main" id="{00000000-0008-0000-0400-00001A1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423"/>
        <a:stretch/>
      </xdr:blipFill>
      <xdr:spPr bwMode="auto">
        <a:xfrm>
          <a:off x="209551" y="613410"/>
          <a:ext cx="990599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264910</xdr:colOff>
      <xdr:row>2</xdr:row>
      <xdr:rowOff>38099</xdr:rowOff>
    </xdr:from>
    <xdr:to>
      <xdr:col>0</xdr:col>
      <xdr:colOff>1109576</xdr:colOff>
      <xdr:row>2</xdr:row>
      <xdr:rowOff>970499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211" b="11466"/>
        <a:stretch/>
      </xdr:blipFill>
      <xdr:spPr bwMode="auto">
        <a:xfrm>
          <a:off x="264910" y="1609724"/>
          <a:ext cx="844666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3</xdr:row>
      <xdr:rowOff>38100</xdr:rowOff>
    </xdr:from>
    <xdr:to>
      <xdr:col>0</xdr:col>
      <xdr:colOff>1156335</xdr:colOff>
      <xdr:row>3</xdr:row>
      <xdr:rowOff>967740</xdr:rowOff>
    </xdr:to>
    <xdr:pic>
      <xdr:nvPicPr>
        <xdr:cNvPr id="4" name="Рисунок 5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619375"/>
          <a:ext cx="975360" cy="929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177432</xdr:colOff>
      <xdr:row>33</xdr:row>
      <xdr:rowOff>38100</xdr:rowOff>
    </xdr:from>
    <xdr:to>
      <xdr:col>0</xdr:col>
      <xdr:colOff>1053528</xdr:colOff>
      <xdr:row>33</xdr:row>
      <xdr:rowOff>974100</xdr:rowOff>
    </xdr:to>
    <xdr:pic>
      <xdr:nvPicPr>
        <xdr:cNvPr id="106156" name="Рисунок 1">
          <a:extLst>
            <a:ext uri="{FF2B5EF4-FFF2-40B4-BE49-F238E27FC236}">
              <a16:creationId xmlns:a16="http://schemas.microsoft.com/office/drawing/2014/main" id="{00000000-0008-0000-0500-0000AC9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32" y="34128075"/>
          <a:ext cx="876096" cy="93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131130</xdr:colOff>
      <xdr:row>28</xdr:row>
      <xdr:rowOff>40005</xdr:rowOff>
    </xdr:from>
    <xdr:to>
      <xdr:col>0</xdr:col>
      <xdr:colOff>1101732</xdr:colOff>
      <xdr:row>28</xdr:row>
      <xdr:rowOff>972405</xdr:rowOff>
    </xdr:to>
    <xdr:pic>
      <xdr:nvPicPr>
        <xdr:cNvPr id="106157" name="Рисунок 1">
          <a:extLst>
            <a:ext uri="{FF2B5EF4-FFF2-40B4-BE49-F238E27FC236}">
              <a16:creationId xmlns:a16="http://schemas.microsoft.com/office/drawing/2014/main" id="{00000000-0008-0000-0500-0000AD9E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7952"/>
        <a:stretch/>
      </xdr:blipFill>
      <xdr:spPr bwMode="auto">
        <a:xfrm>
          <a:off x="131130" y="27005280"/>
          <a:ext cx="970602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128638</xdr:colOff>
      <xdr:row>18</xdr:row>
      <xdr:rowOff>66674</xdr:rowOff>
    </xdr:from>
    <xdr:to>
      <xdr:col>0</xdr:col>
      <xdr:colOff>1103379</xdr:colOff>
      <xdr:row>18</xdr:row>
      <xdr:rowOff>999074</xdr:rowOff>
    </xdr:to>
    <xdr:pic>
      <xdr:nvPicPr>
        <xdr:cNvPr id="106158" name="Рисунок 1">
          <a:extLst>
            <a:ext uri="{FF2B5EF4-FFF2-40B4-BE49-F238E27FC236}">
              <a16:creationId xmlns:a16="http://schemas.microsoft.com/office/drawing/2014/main" id="{00000000-0008-0000-0500-0000AE9E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955" b="18793"/>
        <a:stretch/>
      </xdr:blipFill>
      <xdr:spPr bwMode="auto">
        <a:xfrm>
          <a:off x="128638" y="26003249"/>
          <a:ext cx="974741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123825</xdr:colOff>
      <xdr:row>23</xdr:row>
      <xdr:rowOff>45720</xdr:rowOff>
    </xdr:from>
    <xdr:to>
      <xdr:col>0</xdr:col>
      <xdr:colOff>1095375</xdr:colOff>
      <xdr:row>23</xdr:row>
      <xdr:rowOff>981720</xdr:rowOff>
    </xdr:to>
    <xdr:pic>
      <xdr:nvPicPr>
        <xdr:cNvPr id="106161" name="Рисунок 1">
          <a:extLst>
            <a:ext uri="{FF2B5EF4-FFF2-40B4-BE49-F238E27FC236}">
              <a16:creationId xmlns:a16="http://schemas.microsoft.com/office/drawing/2014/main" id="{00000000-0008-0000-0500-0000B19E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26" r="5321"/>
        <a:stretch/>
      </xdr:blipFill>
      <xdr:spPr bwMode="auto">
        <a:xfrm>
          <a:off x="123825" y="23962995"/>
          <a:ext cx="971550" cy="93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15</xdr:row>
      <xdr:rowOff>38100</xdr:rowOff>
    </xdr:from>
    <xdr:to>
      <xdr:col>0</xdr:col>
      <xdr:colOff>1133475</xdr:colOff>
      <xdr:row>15</xdr:row>
      <xdr:rowOff>974100</xdr:rowOff>
    </xdr:to>
    <xdr:pic>
      <xdr:nvPicPr>
        <xdr:cNvPr id="106162" name="Рисунок 3">
          <a:extLst>
            <a:ext uri="{FF2B5EF4-FFF2-40B4-BE49-F238E27FC236}">
              <a16:creationId xmlns:a16="http://schemas.microsoft.com/office/drawing/2014/main" id="{00000000-0008-0000-0500-0000B29E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92" r="5727"/>
        <a:stretch/>
      </xdr:blipFill>
      <xdr:spPr bwMode="auto">
        <a:xfrm>
          <a:off x="133350" y="20888325"/>
          <a:ext cx="1000125" cy="93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171449</xdr:colOff>
      <xdr:row>16</xdr:row>
      <xdr:rowOff>45720</xdr:rowOff>
    </xdr:from>
    <xdr:to>
      <xdr:col>0</xdr:col>
      <xdr:colOff>1123950</xdr:colOff>
      <xdr:row>16</xdr:row>
      <xdr:rowOff>981720</xdr:rowOff>
    </xdr:to>
    <xdr:pic>
      <xdr:nvPicPr>
        <xdr:cNvPr id="106163" name="Рисунок 3">
          <a:extLst>
            <a:ext uri="{FF2B5EF4-FFF2-40B4-BE49-F238E27FC236}">
              <a16:creationId xmlns:a16="http://schemas.microsoft.com/office/drawing/2014/main" id="{00000000-0008-0000-0500-0000B39E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388" t="20303" r="25759" b="44189"/>
        <a:stretch/>
      </xdr:blipFill>
      <xdr:spPr bwMode="auto">
        <a:xfrm>
          <a:off x="171449" y="18857595"/>
          <a:ext cx="952501" cy="93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92695</xdr:colOff>
      <xdr:row>13</xdr:row>
      <xdr:rowOff>38100</xdr:rowOff>
    </xdr:from>
    <xdr:to>
      <xdr:col>0</xdr:col>
      <xdr:colOff>1138266</xdr:colOff>
      <xdr:row>13</xdr:row>
      <xdr:rowOff>974100</xdr:rowOff>
    </xdr:to>
    <xdr:pic>
      <xdr:nvPicPr>
        <xdr:cNvPr id="106164" name="Рисунок 3">
          <a:extLst>
            <a:ext uri="{FF2B5EF4-FFF2-40B4-BE49-F238E27FC236}">
              <a16:creationId xmlns:a16="http://schemas.microsoft.com/office/drawing/2014/main" id="{00000000-0008-0000-0500-0000B49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531" b="21606"/>
        <a:stretch>
          <a:fillRect/>
        </a:stretch>
      </xdr:blipFill>
      <xdr:spPr bwMode="auto">
        <a:xfrm>
          <a:off x="92695" y="29022675"/>
          <a:ext cx="1045571" cy="93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172876</xdr:colOff>
      <xdr:row>11</xdr:row>
      <xdr:rowOff>7620</xdr:rowOff>
    </xdr:from>
    <xdr:to>
      <xdr:col>0</xdr:col>
      <xdr:colOff>1058085</xdr:colOff>
      <xdr:row>11</xdr:row>
      <xdr:rowOff>943620</xdr:rowOff>
    </xdr:to>
    <xdr:pic>
      <xdr:nvPicPr>
        <xdr:cNvPr id="106165" name="Рисунок 2">
          <a:extLst>
            <a:ext uri="{FF2B5EF4-FFF2-40B4-BE49-F238E27FC236}">
              <a16:creationId xmlns:a16="http://schemas.microsoft.com/office/drawing/2014/main" id="{00000000-0008-0000-0500-0000B59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992" b="28391"/>
        <a:stretch>
          <a:fillRect/>
        </a:stretch>
      </xdr:blipFill>
      <xdr:spPr bwMode="auto">
        <a:xfrm>
          <a:off x="172876" y="25944195"/>
          <a:ext cx="885209" cy="93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195011</xdr:colOff>
      <xdr:row>21</xdr:row>
      <xdr:rowOff>7620</xdr:rowOff>
    </xdr:from>
    <xdr:to>
      <xdr:col>0</xdr:col>
      <xdr:colOff>1035949</xdr:colOff>
      <xdr:row>21</xdr:row>
      <xdr:rowOff>943620</xdr:rowOff>
    </xdr:to>
    <xdr:pic>
      <xdr:nvPicPr>
        <xdr:cNvPr id="106166" name="Рисунок 1">
          <a:extLst>
            <a:ext uri="{FF2B5EF4-FFF2-40B4-BE49-F238E27FC236}">
              <a16:creationId xmlns:a16="http://schemas.microsoft.com/office/drawing/2014/main" id="{00000000-0008-0000-0500-0000B69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6" b="11945"/>
        <a:stretch>
          <a:fillRect/>
        </a:stretch>
      </xdr:blipFill>
      <xdr:spPr bwMode="auto">
        <a:xfrm>
          <a:off x="195011" y="38155245"/>
          <a:ext cx="840938" cy="93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198271</xdr:colOff>
      <xdr:row>37</xdr:row>
      <xdr:rowOff>30480</xdr:rowOff>
    </xdr:from>
    <xdr:to>
      <xdr:col>0</xdr:col>
      <xdr:colOff>1032690</xdr:colOff>
      <xdr:row>37</xdr:row>
      <xdr:rowOff>966480</xdr:rowOff>
    </xdr:to>
    <xdr:pic>
      <xdr:nvPicPr>
        <xdr:cNvPr id="106172" name="Рисунок 1">
          <a:extLst>
            <a:ext uri="{FF2B5EF4-FFF2-40B4-BE49-F238E27FC236}">
              <a16:creationId xmlns:a16="http://schemas.microsoft.com/office/drawing/2014/main" id="{00000000-0008-0000-0500-0000BC9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612" b="7603"/>
        <a:stretch>
          <a:fillRect/>
        </a:stretch>
      </xdr:blipFill>
      <xdr:spPr bwMode="auto">
        <a:xfrm>
          <a:off x="198271" y="33110805"/>
          <a:ext cx="834419" cy="93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147480</xdr:colOff>
      <xdr:row>17</xdr:row>
      <xdr:rowOff>30480</xdr:rowOff>
    </xdr:from>
    <xdr:to>
      <xdr:col>0</xdr:col>
      <xdr:colOff>1083480</xdr:colOff>
      <xdr:row>17</xdr:row>
      <xdr:rowOff>966480</xdr:rowOff>
    </xdr:to>
    <xdr:pic>
      <xdr:nvPicPr>
        <xdr:cNvPr id="106173" name="Рисунок 2">
          <a:extLst>
            <a:ext uri="{FF2B5EF4-FFF2-40B4-BE49-F238E27FC236}">
              <a16:creationId xmlns:a16="http://schemas.microsoft.com/office/drawing/2014/main" id="{00000000-0008-0000-0500-0000BD9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12" t="6139" r="5412" b="26976"/>
        <a:stretch>
          <a:fillRect/>
        </a:stretch>
      </xdr:blipFill>
      <xdr:spPr bwMode="auto">
        <a:xfrm>
          <a:off x="147480" y="35130105"/>
          <a:ext cx="936000" cy="93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93640</xdr:colOff>
      <xdr:row>38</xdr:row>
      <xdr:rowOff>53340</xdr:rowOff>
    </xdr:from>
    <xdr:to>
      <xdr:col>0</xdr:col>
      <xdr:colOff>1137321</xdr:colOff>
      <xdr:row>38</xdr:row>
      <xdr:rowOff>989340</xdr:rowOff>
    </xdr:to>
    <xdr:pic>
      <xdr:nvPicPr>
        <xdr:cNvPr id="106174" name="Рисунок 3">
          <a:extLst>
            <a:ext uri="{FF2B5EF4-FFF2-40B4-BE49-F238E27FC236}">
              <a16:creationId xmlns:a16="http://schemas.microsoft.com/office/drawing/2014/main" id="{00000000-0008-0000-0500-0000BE9E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40" y="34076640"/>
          <a:ext cx="1043681" cy="93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147480</xdr:colOff>
      <xdr:row>32</xdr:row>
      <xdr:rowOff>38100</xdr:rowOff>
    </xdr:from>
    <xdr:to>
      <xdr:col>0</xdr:col>
      <xdr:colOff>1083480</xdr:colOff>
      <xdr:row>32</xdr:row>
      <xdr:rowOff>974100</xdr:rowOff>
    </xdr:to>
    <xdr:pic>
      <xdr:nvPicPr>
        <xdr:cNvPr id="106175" name="Рисунок 2">
          <a:extLst>
            <a:ext uri="{FF2B5EF4-FFF2-40B4-BE49-F238E27FC236}">
              <a16:creationId xmlns:a16="http://schemas.microsoft.com/office/drawing/2014/main" id="{00000000-0008-0000-0500-0000BF9E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480" y="18849975"/>
          <a:ext cx="936000" cy="93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1</xdr:row>
      <xdr:rowOff>68580</xdr:rowOff>
    </xdr:from>
    <xdr:to>
      <xdr:col>0</xdr:col>
      <xdr:colOff>1063356</xdr:colOff>
      <xdr:row>1</xdr:row>
      <xdr:rowOff>1000980</xdr:rowOff>
    </xdr:to>
    <xdr:pic>
      <xdr:nvPicPr>
        <xdr:cNvPr id="106176" name="Рисунок 3">
          <a:extLst>
            <a:ext uri="{FF2B5EF4-FFF2-40B4-BE49-F238E27FC236}">
              <a16:creationId xmlns:a16="http://schemas.microsoft.com/office/drawing/2014/main" id="{00000000-0008-0000-0500-0000C09E01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22" r="5199"/>
        <a:stretch/>
      </xdr:blipFill>
      <xdr:spPr bwMode="auto">
        <a:xfrm>
          <a:off x="171450" y="5716905"/>
          <a:ext cx="891906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163080</xdr:colOff>
      <xdr:row>12</xdr:row>
      <xdr:rowOff>38100</xdr:rowOff>
    </xdr:from>
    <xdr:to>
      <xdr:col>0</xdr:col>
      <xdr:colOff>1067880</xdr:colOff>
      <xdr:row>12</xdr:row>
      <xdr:rowOff>974100</xdr:rowOff>
    </xdr:to>
    <xdr:pic>
      <xdr:nvPicPr>
        <xdr:cNvPr id="106177" name="Рисунок 6">
          <a:extLst>
            <a:ext uri="{FF2B5EF4-FFF2-40B4-BE49-F238E27FC236}">
              <a16:creationId xmlns:a16="http://schemas.microsoft.com/office/drawing/2014/main" id="{00000000-0008-0000-0500-0000C19E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080" y="20888325"/>
          <a:ext cx="904800" cy="93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127816</xdr:colOff>
      <xdr:row>4</xdr:row>
      <xdr:rowOff>45720</xdr:rowOff>
    </xdr:from>
    <xdr:to>
      <xdr:col>0</xdr:col>
      <xdr:colOff>1103144</xdr:colOff>
      <xdr:row>4</xdr:row>
      <xdr:rowOff>981720</xdr:rowOff>
    </xdr:to>
    <xdr:pic>
      <xdr:nvPicPr>
        <xdr:cNvPr id="24" name="Рисунок 1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816" y="17828895"/>
          <a:ext cx="975328" cy="93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71996</xdr:colOff>
      <xdr:row>9</xdr:row>
      <xdr:rowOff>30480</xdr:rowOff>
    </xdr:from>
    <xdr:to>
      <xdr:col>0</xdr:col>
      <xdr:colOff>1158964</xdr:colOff>
      <xdr:row>9</xdr:row>
      <xdr:rowOff>966480</xdr:rowOff>
    </xdr:to>
    <xdr:pic>
      <xdr:nvPicPr>
        <xdr:cNvPr id="28" name="Рисунок 3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007" t="13205" r="14322" b="42351"/>
        <a:stretch>
          <a:fillRect/>
        </a:stretch>
      </xdr:blipFill>
      <xdr:spPr bwMode="auto">
        <a:xfrm>
          <a:off x="71996" y="13756005"/>
          <a:ext cx="1086968" cy="93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81788</xdr:colOff>
      <xdr:row>6</xdr:row>
      <xdr:rowOff>57150</xdr:rowOff>
    </xdr:from>
    <xdr:to>
      <xdr:col>0</xdr:col>
      <xdr:colOff>1149172</xdr:colOff>
      <xdr:row>6</xdr:row>
      <xdr:rowOff>993150</xdr:rowOff>
    </xdr:to>
    <xdr:pic>
      <xdr:nvPicPr>
        <xdr:cNvPr id="33" name="Рисунок 18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800" b="25200"/>
        <a:stretch/>
      </xdr:blipFill>
      <xdr:spPr bwMode="auto">
        <a:xfrm>
          <a:off x="81788" y="1647825"/>
          <a:ext cx="1067384" cy="93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83832</xdr:colOff>
      <xdr:row>20</xdr:row>
      <xdr:rowOff>30480</xdr:rowOff>
    </xdr:from>
    <xdr:to>
      <xdr:col>0</xdr:col>
      <xdr:colOff>1147128</xdr:colOff>
      <xdr:row>20</xdr:row>
      <xdr:rowOff>966480</xdr:rowOff>
    </xdr:to>
    <xdr:pic>
      <xdr:nvPicPr>
        <xdr:cNvPr id="36" name="Рисунок 29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32" y="592455"/>
          <a:ext cx="1063296" cy="93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142875</xdr:colOff>
      <xdr:row>14</xdr:row>
      <xdr:rowOff>45720</xdr:rowOff>
    </xdr:from>
    <xdr:to>
      <xdr:col>0</xdr:col>
      <xdr:colOff>1085851</xdr:colOff>
      <xdr:row>14</xdr:row>
      <xdr:rowOff>981720</xdr:rowOff>
    </xdr:to>
    <xdr:pic>
      <xdr:nvPicPr>
        <xdr:cNvPr id="41" name="Рисунок 8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18" r="5330"/>
        <a:stretch/>
      </xdr:blipFill>
      <xdr:spPr bwMode="auto">
        <a:xfrm>
          <a:off x="142875" y="19886295"/>
          <a:ext cx="942976" cy="93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125195</xdr:colOff>
      <xdr:row>36</xdr:row>
      <xdr:rowOff>22860</xdr:rowOff>
    </xdr:from>
    <xdr:to>
      <xdr:col>0</xdr:col>
      <xdr:colOff>1105766</xdr:colOff>
      <xdr:row>36</xdr:row>
      <xdr:rowOff>958860</xdr:rowOff>
    </xdr:to>
    <xdr:pic>
      <xdr:nvPicPr>
        <xdr:cNvPr id="44" name="Рисунок 2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195" y="22892385"/>
          <a:ext cx="980571" cy="93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5</xdr:row>
      <xdr:rowOff>49530</xdr:rowOff>
    </xdr:from>
    <xdr:to>
      <xdr:col>0</xdr:col>
      <xdr:colOff>1053795</xdr:colOff>
      <xdr:row>5</xdr:row>
      <xdr:rowOff>981930</xdr:rowOff>
    </xdr:to>
    <xdr:pic>
      <xdr:nvPicPr>
        <xdr:cNvPr id="50" name="Рисунок 9"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20" t="3299" r="7084" b="15482"/>
        <a:stretch/>
      </xdr:blipFill>
      <xdr:spPr bwMode="auto">
        <a:xfrm>
          <a:off x="152400" y="6707505"/>
          <a:ext cx="901395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177674</xdr:colOff>
      <xdr:row>22</xdr:row>
      <xdr:rowOff>30480</xdr:rowOff>
    </xdr:from>
    <xdr:to>
      <xdr:col>0</xdr:col>
      <xdr:colOff>1053287</xdr:colOff>
      <xdr:row>22</xdr:row>
      <xdr:rowOff>966480</xdr:rowOff>
    </xdr:to>
    <xdr:pic>
      <xdr:nvPicPr>
        <xdr:cNvPr id="53" name="Рисунок 1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674" y="48274605"/>
          <a:ext cx="875613" cy="93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77465</xdr:colOff>
      <xdr:row>39</xdr:row>
      <xdr:rowOff>7620</xdr:rowOff>
    </xdr:from>
    <xdr:to>
      <xdr:col>0</xdr:col>
      <xdr:colOff>1153496</xdr:colOff>
      <xdr:row>39</xdr:row>
      <xdr:rowOff>943620</xdr:rowOff>
    </xdr:to>
    <xdr:pic>
      <xdr:nvPicPr>
        <xdr:cNvPr id="57" name="Рисунок 17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204" b="17487"/>
        <a:stretch>
          <a:fillRect/>
        </a:stretch>
      </xdr:blipFill>
      <xdr:spPr bwMode="auto">
        <a:xfrm>
          <a:off x="77465" y="35040570"/>
          <a:ext cx="1076031" cy="93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181658</xdr:colOff>
      <xdr:row>31</xdr:row>
      <xdr:rowOff>40481</xdr:rowOff>
    </xdr:from>
    <xdr:to>
      <xdr:col>0</xdr:col>
      <xdr:colOff>1049303</xdr:colOff>
      <xdr:row>31</xdr:row>
      <xdr:rowOff>976481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9091"/>
        <a:stretch/>
      </xdr:blipFill>
      <xdr:spPr>
        <a:xfrm>
          <a:off x="181658" y="3669506"/>
          <a:ext cx="867645" cy="936000"/>
        </a:xfrm>
        <a:prstGeom prst="rect">
          <a:avLst/>
        </a:prstGeom>
      </xdr:spPr>
    </xdr:pic>
    <xdr:clientData/>
  </xdr:twoCellAnchor>
  <xdr:twoCellAnchor>
    <xdr:from>
      <xdr:col>0</xdr:col>
      <xdr:colOff>180975</xdr:colOff>
      <xdr:row>19</xdr:row>
      <xdr:rowOff>28575</xdr:rowOff>
    </xdr:from>
    <xdr:to>
      <xdr:col>0</xdr:col>
      <xdr:colOff>1028216</xdr:colOff>
      <xdr:row>19</xdr:row>
      <xdr:rowOff>964575</xdr:rowOff>
    </xdr:to>
    <xdr:pic>
      <xdr:nvPicPr>
        <xdr:cNvPr id="59" name="Рисунок 3">
          <a:extLst>
            <a:ext uri="{FF2B5EF4-FFF2-40B4-BE49-F238E27FC236}">
              <a16:creationId xmlns:a16="http://schemas.microsoft.com/office/drawing/2014/main" id="{00000000-0008-0000-05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1888450"/>
          <a:ext cx="847241" cy="93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130969</xdr:colOff>
      <xdr:row>26</xdr:row>
      <xdr:rowOff>95250</xdr:rowOff>
    </xdr:from>
    <xdr:to>
      <xdr:col>0</xdr:col>
      <xdr:colOff>1069834</xdr:colOff>
      <xdr:row>26</xdr:row>
      <xdr:rowOff>948764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30969" y="15859125"/>
          <a:ext cx="938865" cy="853514"/>
        </a:xfrm>
        <a:prstGeom prst="rect">
          <a:avLst/>
        </a:prstGeom>
      </xdr:spPr>
    </xdr:pic>
    <xdr:clientData/>
  </xdr:twoCellAnchor>
  <xdr:twoCellAnchor>
    <xdr:from>
      <xdr:col>0</xdr:col>
      <xdr:colOff>69408</xdr:colOff>
      <xdr:row>10</xdr:row>
      <xdr:rowOff>42334</xdr:rowOff>
    </xdr:from>
    <xdr:to>
      <xdr:col>0</xdr:col>
      <xdr:colOff>1082189</xdr:colOff>
      <xdr:row>10</xdr:row>
      <xdr:rowOff>974734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500-00003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06" t="16035" r="12610" b="31500"/>
        <a:stretch/>
      </xdr:blipFill>
      <xdr:spPr>
        <a:xfrm>
          <a:off x="69408" y="104771614"/>
          <a:ext cx="1012781" cy="155160"/>
        </a:xfrm>
        <a:prstGeom prst="rect">
          <a:avLst/>
        </a:prstGeom>
      </xdr:spPr>
    </xdr:pic>
    <xdr:clientData/>
  </xdr:twoCellAnchor>
  <xdr:twoCellAnchor editAs="oneCell">
    <xdr:from>
      <xdr:col>0</xdr:col>
      <xdr:colOff>130968</xdr:colOff>
      <xdr:row>35</xdr:row>
      <xdr:rowOff>47625</xdr:rowOff>
    </xdr:from>
    <xdr:to>
      <xdr:col>0</xdr:col>
      <xdr:colOff>1130799</xdr:colOff>
      <xdr:row>35</xdr:row>
      <xdr:rowOff>974297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30968" y="30039469"/>
          <a:ext cx="999831" cy="926672"/>
        </a:xfrm>
        <a:prstGeom prst="rect">
          <a:avLst/>
        </a:prstGeom>
      </xdr:spPr>
    </xdr:pic>
    <xdr:clientData/>
  </xdr:twoCellAnchor>
  <xdr:twoCellAnchor editAs="oneCell">
    <xdr:from>
      <xdr:col>0</xdr:col>
      <xdr:colOff>130969</xdr:colOff>
      <xdr:row>34</xdr:row>
      <xdr:rowOff>47625</xdr:rowOff>
    </xdr:from>
    <xdr:to>
      <xdr:col>0</xdr:col>
      <xdr:colOff>1082027</xdr:colOff>
      <xdr:row>34</xdr:row>
      <xdr:rowOff>974297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30969" y="29015531"/>
          <a:ext cx="951058" cy="926672"/>
        </a:xfrm>
        <a:prstGeom prst="rect">
          <a:avLst/>
        </a:prstGeom>
      </xdr:spPr>
    </xdr:pic>
    <xdr:clientData/>
  </xdr:twoCellAnchor>
  <xdr:twoCellAnchor>
    <xdr:from>
      <xdr:col>0</xdr:col>
      <xdr:colOff>119576</xdr:colOff>
      <xdr:row>8</xdr:row>
      <xdr:rowOff>28577</xdr:rowOff>
    </xdr:from>
    <xdr:to>
      <xdr:col>0</xdr:col>
      <xdr:colOff>1032021</xdr:colOff>
      <xdr:row>8</xdr:row>
      <xdr:rowOff>960977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819" b="25629"/>
        <a:stretch/>
      </xdr:blipFill>
      <xdr:spPr>
        <a:xfrm>
          <a:off x="119576" y="590552"/>
          <a:ext cx="912445" cy="170400"/>
        </a:xfrm>
        <a:prstGeom prst="rect">
          <a:avLst/>
        </a:prstGeom>
      </xdr:spPr>
    </xdr:pic>
    <xdr:clientData/>
  </xdr:twoCellAnchor>
  <xdr:twoCellAnchor>
    <xdr:from>
      <xdr:col>0</xdr:col>
      <xdr:colOff>84557</xdr:colOff>
      <xdr:row>3</xdr:row>
      <xdr:rowOff>33866</xdr:rowOff>
    </xdr:from>
    <xdr:to>
      <xdr:col>0</xdr:col>
      <xdr:colOff>1067039</xdr:colOff>
      <xdr:row>3</xdr:row>
      <xdr:rowOff>966266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400" b="21423"/>
        <a:stretch/>
      </xdr:blipFill>
      <xdr:spPr>
        <a:xfrm>
          <a:off x="84557" y="2615141"/>
          <a:ext cx="982482" cy="170400"/>
        </a:xfrm>
        <a:prstGeom prst="rect">
          <a:avLst/>
        </a:prstGeom>
      </xdr:spPr>
    </xdr:pic>
    <xdr:clientData/>
  </xdr:twoCellAnchor>
  <xdr:twoCellAnchor>
    <xdr:from>
      <xdr:col>0</xdr:col>
      <xdr:colOff>220193</xdr:colOff>
      <xdr:row>27</xdr:row>
      <xdr:rowOff>38099</xdr:rowOff>
    </xdr:from>
    <xdr:to>
      <xdr:col>0</xdr:col>
      <xdr:colOff>1010767</xdr:colOff>
      <xdr:row>27</xdr:row>
      <xdr:rowOff>986788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578"/>
        <a:stretch/>
      </xdr:blipFill>
      <xdr:spPr>
        <a:xfrm>
          <a:off x="220193" y="36099749"/>
          <a:ext cx="790574" cy="948689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29</xdr:row>
      <xdr:rowOff>28574</xdr:rowOff>
    </xdr:from>
    <xdr:to>
      <xdr:col>0</xdr:col>
      <xdr:colOff>1123950</xdr:colOff>
      <xdr:row>29</xdr:row>
      <xdr:rowOff>990909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25" t="8753" r="5400" b="34636"/>
        <a:stretch/>
      </xdr:blipFill>
      <xdr:spPr>
        <a:xfrm>
          <a:off x="57150" y="37118924"/>
          <a:ext cx="1066800" cy="962335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24</xdr:row>
      <xdr:rowOff>57150</xdr:rowOff>
    </xdr:from>
    <xdr:to>
      <xdr:col>0</xdr:col>
      <xdr:colOff>1081428</xdr:colOff>
      <xdr:row>24</xdr:row>
      <xdr:rowOff>989550</xdr:rowOff>
    </xdr:to>
    <xdr:pic>
      <xdr:nvPicPr>
        <xdr:cNvPr id="39" name="Рисунок 10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t="4227" r="8841" b="47150"/>
        <a:stretch>
          <a:fillRect/>
        </a:stretch>
      </xdr:blipFill>
      <xdr:spPr bwMode="auto">
        <a:xfrm>
          <a:off x="76200" y="38176200"/>
          <a:ext cx="1005228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209551</xdr:colOff>
      <xdr:row>30</xdr:row>
      <xdr:rowOff>47624</xdr:rowOff>
    </xdr:from>
    <xdr:to>
      <xdr:col>0</xdr:col>
      <xdr:colOff>1000125</xdr:colOff>
      <xdr:row>30</xdr:row>
      <xdr:rowOff>1003445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753" b="6181"/>
        <a:stretch/>
      </xdr:blipFill>
      <xdr:spPr>
        <a:xfrm>
          <a:off x="209551" y="39195374"/>
          <a:ext cx="790574" cy="955821"/>
        </a:xfrm>
        <a:prstGeom prst="rect">
          <a:avLst/>
        </a:prstGeom>
      </xdr:spPr>
    </xdr:pic>
    <xdr:clientData/>
  </xdr:twoCellAnchor>
  <xdr:twoCellAnchor editAs="oneCell">
    <xdr:from>
      <xdr:col>0</xdr:col>
      <xdr:colOff>71438</xdr:colOff>
      <xdr:row>7</xdr:row>
      <xdr:rowOff>83344</xdr:rowOff>
    </xdr:from>
    <xdr:to>
      <xdr:col>0</xdr:col>
      <xdr:colOff>1162717</xdr:colOff>
      <xdr:row>7</xdr:row>
      <xdr:rowOff>985630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1F01D63F-CEB7-4245-A8EE-B975B1931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71438" y="5726907"/>
          <a:ext cx="1091279" cy="902286"/>
        </a:xfrm>
        <a:prstGeom prst="rect">
          <a:avLst/>
        </a:prstGeom>
      </xdr:spPr>
    </xdr:pic>
    <xdr:clientData/>
  </xdr:twoCellAnchor>
  <xdr:twoCellAnchor>
    <xdr:from>
      <xdr:col>0</xdr:col>
      <xdr:colOff>81203</xdr:colOff>
      <xdr:row>25</xdr:row>
      <xdr:rowOff>30480</xdr:rowOff>
    </xdr:from>
    <xdr:to>
      <xdr:col>0</xdr:col>
      <xdr:colOff>1070393</xdr:colOff>
      <xdr:row>25</xdr:row>
      <xdr:rowOff>962880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600-00004DB7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943" b="27967"/>
        <a:stretch/>
      </xdr:blipFill>
      <xdr:spPr>
        <a:xfrm>
          <a:off x="81203" y="65463420"/>
          <a:ext cx="989190" cy="17040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2</xdr:row>
      <xdr:rowOff>83344</xdr:rowOff>
    </xdr:from>
    <xdr:to>
      <xdr:col>0</xdr:col>
      <xdr:colOff>1109929</xdr:colOff>
      <xdr:row>2</xdr:row>
      <xdr:rowOff>955148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DFEE5F75-50B4-4048-963E-F7D383DDA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38125" y="1666875"/>
          <a:ext cx="871804" cy="87180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36928</xdr:colOff>
      <xdr:row>107</xdr:row>
      <xdr:rowOff>38100</xdr:rowOff>
    </xdr:from>
    <xdr:to>
      <xdr:col>0</xdr:col>
      <xdr:colOff>1114668</xdr:colOff>
      <xdr:row>107</xdr:row>
      <xdr:rowOff>970500</xdr:rowOff>
    </xdr:to>
    <xdr:pic>
      <xdr:nvPicPr>
        <xdr:cNvPr id="112422" name="Рисунок 6">
          <a:extLst>
            <a:ext uri="{FF2B5EF4-FFF2-40B4-BE49-F238E27FC236}">
              <a16:creationId xmlns:a16="http://schemas.microsoft.com/office/drawing/2014/main" id="{00000000-0008-0000-0600-000026B7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954" t="18750" r="19935" b="42241"/>
        <a:stretch/>
      </xdr:blipFill>
      <xdr:spPr bwMode="auto">
        <a:xfrm>
          <a:off x="36928" y="66670767"/>
          <a:ext cx="1077740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80222</xdr:colOff>
      <xdr:row>131</xdr:row>
      <xdr:rowOff>30480</xdr:rowOff>
    </xdr:from>
    <xdr:to>
      <xdr:col>0</xdr:col>
      <xdr:colOff>1071375</xdr:colOff>
      <xdr:row>131</xdr:row>
      <xdr:rowOff>962880</xdr:rowOff>
    </xdr:to>
    <xdr:pic>
      <xdr:nvPicPr>
        <xdr:cNvPr id="112424" name="Рисунок 7">
          <a:extLst>
            <a:ext uri="{FF2B5EF4-FFF2-40B4-BE49-F238E27FC236}">
              <a16:creationId xmlns:a16="http://schemas.microsoft.com/office/drawing/2014/main" id="{00000000-0008-0000-0600-000028B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79" t="7298" r="11803" b="41927"/>
        <a:stretch>
          <a:fillRect/>
        </a:stretch>
      </xdr:blipFill>
      <xdr:spPr bwMode="auto">
        <a:xfrm>
          <a:off x="80222" y="8725747"/>
          <a:ext cx="991153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145738</xdr:colOff>
      <xdr:row>46</xdr:row>
      <xdr:rowOff>7620</xdr:rowOff>
    </xdr:from>
    <xdr:to>
      <xdr:col>0</xdr:col>
      <xdr:colOff>1005858</xdr:colOff>
      <xdr:row>46</xdr:row>
      <xdr:rowOff>940020</xdr:rowOff>
    </xdr:to>
    <xdr:pic>
      <xdr:nvPicPr>
        <xdr:cNvPr id="112426" name="Рисунок 4">
          <a:extLst>
            <a:ext uri="{FF2B5EF4-FFF2-40B4-BE49-F238E27FC236}">
              <a16:creationId xmlns:a16="http://schemas.microsoft.com/office/drawing/2014/main" id="{00000000-0008-0000-0600-00002AB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764" b="11885"/>
        <a:stretch>
          <a:fillRect/>
        </a:stretch>
      </xdr:blipFill>
      <xdr:spPr bwMode="auto">
        <a:xfrm>
          <a:off x="145738" y="137269220"/>
          <a:ext cx="860120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106042</xdr:colOff>
      <xdr:row>70</xdr:row>
      <xdr:rowOff>43542</xdr:rowOff>
    </xdr:from>
    <xdr:to>
      <xdr:col>0</xdr:col>
      <xdr:colOff>1045555</xdr:colOff>
      <xdr:row>70</xdr:row>
      <xdr:rowOff>975942</xdr:rowOff>
    </xdr:to>
    <xdr:pic>
      <xdr:nvPicPr>
        <xdr:cNvPr id="112427" name="Рисунок 5">
          <a:extLst>
            <a:ext uri="{FF2B5EF4-FFF2-40B4-BE49-F238E27FC236}">
              <a16:creationId xmlns:a16="http://schemas.microsoft.com/office/drawing/2014/main" id="{00000000-0008-0000-0600-00002BB7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884" b="20683"/>
        <a:stretch/>
      </xdr:blipFill>
      <xdr:spPr bwMode="auto">
        <a:xfrm>
          <a:off x="106042" y="112023675"/>
          <a:ext cx="939513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82540</xdr:colOff>
      <xdr:row>132</xdr:row>
      <xdr:rowOff>30480</xdr:rowOff>
    </xdr:from>
    <xdr:to>
      <xdr:col>0</xdr:col>
      <xdr:colOff>1069056</xdr:colOff>
      <xdr:row>132</xdr:row>
      <xdr:rowOff>962880</xdr:rowOff>
    </xdr:to>
    <xdr:pic>
      <xdr:nvPicPr>
        <xdr:cNvPr id="112428" name="Рисунок 2">
          <a:extLst>
            <a:ext uri="{FF2B5EF4-FFF2-40B4-BE49-F238E27FC236}">
              <a16:creationId xmlns:a16="http://schemas.microsoft.com/office/drawing/2014/main" id="{00000000-0008-0000-0600-00002CB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62" t="20180" r="19679" b="35844"/>
        <a:stretch>
          <a:fillRect/>
        </a:stretch>
      </xdr:blipFill>
      <xdr:spPr bwMode="auto">
        <a:xfrm>
          <a:off x="82540" y="124101013"/>
          <a:ext cx="986516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70607</xdr:colOff>
      <xdr:row>12</xdr:row>
      <xdr:rowOff>38100</xdr:rowOff>
    </xdr:from>
    <xdr:to>
      <xdr:col>0</xdr:col>
      <xdr:colOff>1080990</xdr:colOff>
      <xdr:row>12</xdr:row>
      <xdr:rowOff>970500</xdr:rowOff>
    </xdr:to>
    <xdr:pic>
      <xdr:nvPicPr>
        <xdr:cNvPr id="112430" name="Рисунок 4">
          <a:extLst>
            <a:ext uri="{FF2B5EF4-FFF2-40B4-BE49-F238E27FC236}">
              <a16:creationId xmlns:a16="http://schemas.microsoft.com/office/drawing/2014/main" id="{00000000-0008-0000-0600-00002EB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147" t="24254" r="25688" b="44095"/>
        <a:stretch>
          <a:fillRect/>
        </a:stretch>
      </xdr:blipFill>
      <xdr:spPr bwMode="auto">
        <a:xfrm>
          <a:off x="70607" y="132219700"/>
          <a:ext cx="1010383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146299</xdr:colOff>
      <xdr:row>8</xdr:row>
      <xdr:rowOff>45720</xdr:rowOff>
    </xdr:from>
    <xdr:to>
      <xdr:col>0</xdr:col>
      <xdr:colOff>1005298</xdr:colOff>
      <xdr:row>8</xdr:row>
      <xdr:rowOff>978120</xdr:rowOff>
    </xdr:to>
    <xdr:pic>
      <xdr:nvPicPr>
        <xdr:cNvPr id="112434" name="Рисунок 2">
          <a:extLst>
            <a:ext uri="{FF2B5EF4-FFF2-40B4-BE49-F238E27FC236}">
              <a16:creationId xmlns:a16="http://schemas.microsoft.com/office/drawing/2014/main" id="{00000000-0008-0000-0600-000032B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99" y="154579320"/>
          <a:ext cx="858999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140709</xdr:colOff>
      <xdr:row>30</xdr:row>
      <xdr:rowOff>32655</xdr:rowOff>
    </xdr:from>
    <xdr:to>
      <xdr:col>0</xdr:col>
      <xdr:colOff>1010888</xdr:colOff>
      <xdr:row>30</xdr:row>
      <xdr:rowOff>965055</xdr:rowOff>
    </xdr:to>
    <xdr:pic>
      <xdr:nvPicPr>
        <xdr:cNvPr id="112437" name="Рисунок 3">
          <a:extLst>
            <a:ext uri="{FF2B5EF4-FFF2-40B4-BE49-F238E27FC236}">
              <a16:creationId xmlns:a16="http://schemas.microsoft.com/office/drawing/2014/main" id="{00000000-0008-0000-0600-000035B7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560" b="13356"/>
        <a:stretch/>
      </xdr:blipFill>
      <xdr:spPr bwMode="auto">
        <a:xfrm>
          <a:off x="140709" y="131198255"/>
          <a:ext cx="870179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84310</xdr:colOff>
      <xdr:row>5</xdr:row>
      <xdr:rowOff>45720</xdr:rowOff>
    </xdr:from>
    <xdr:to>
      <xdr:col>0</xdr:col>
      <xdr:colOff>1067286</xdr:colOff>
      <xdr:row>5</xdr:row>
      <xdr:rowOff>978120</xdr:rowOff>
    </xdr:to>
    <xdr:pic>
      <xdr:nvPicPr>
        <xdr:cNvPr id="112438" name="Рисунок 6">
          <a:extLst>
            <a:ext uri="{FF2B5EF4-FFF2-40B4-BE49-F238E27FC236}">
              <a16:creationId xmlns:a16="http://schemas.microsoft.com/office/drawing/2014/main" id="{00000000-0008-0000-0600-000036B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310" y="156611320"/>
          <a:ext cx="982976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113269</xdr:colOff>
      <xdr:row>92</xdr:row>
      <xdr:rowOff>21770</xdr:rowOff>
    </xdr:from>
    <xdr:to>
      <xdr:col>0</xdr:col>
      <xdr:colOff>1038327</xdr:colOff>
      <xdr:row>92</xdr:row>
      <xdr:rowOff>954170</xdr:rowOff>
    </xdr:to>
    <xdr:pic>
      <xdr:nvPicPr>
        <xdr:cNvPr id="112444" name="Рисунок 22">
          <a:extLst>
            <a:ext uri="{FF2B5EF4-FFF2-40B4-BE49-F238E27FC236}">
              <a16:creationId xmlns:a16="http://schemas.microsoft.com/office/drawing/2014/main" id="{00000000-0008-0000-0600-00003CB7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4405"/>
        <a:stretch/>
      </xdr:blipFill>
      <xdr:spPr bwMode="auto">
        <a:xfrm>
          <a:off x="113269" y="92020570"/>
          <a:ext cx="925058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96919</xdr:colOff>
      <xdr:row>13</xdr:row>
      <xdr:rowOff>18506</xdr:rowOff>
    </xdr:from>
    <xdr:to>
      <xdr:col>0</xdr:col>
      <xdr:colOff>1054678</xdr:colOff>
      <xdr:row>13</xdr:row>
      <xdr:rowOff>950906</xdr:rowOff>
    </xdr:to>
    <xdr:pic>
      <xdr:nvPicPr>
        <xdr:cNvPr id="112445" name="Рисунок 25">
          <a:extLst>
            <a:ext uri="{FF2B5EF4-FFF2-40B4-BE49-F238E27FC236}">
              <a16:creationId xmlns:a16="http://schemas.microsoft.com/office/drawing/2014/main" id="{00000000-0008-0000-0600-00003DB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19" y="64619173"/>
          <a:ext cx="957759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100831</xdr:colOff>
      <xdr:row>27</xdr:row>
      <xdr:rowOff>38100</xdr:rowOff>
    </xdr:from>
    <xdr:to>
      <xdr:col>0</xdr:col>
      <xdr:colOff>1050766</xdr:colOff>
      <xdr:row>27</xdr:row>
      <xdr:rowOff>970500</xdr:rowOff>
    </xdr:to>
    <xdr:pic>
      <xdr:nvPicPr>
        <xdr:cNvPr id="112448" name="Рисунок 3">
          <a:extLst>
            <a:ext uri="{FF2B5EF4-FFF2-40B4-BE49-F238E27FC236}">
              <a16:creationId xmlns:a16="http://schemas.microsoft.com/office/drawing/2014/main" id="{00000000-0008-0000-0600-000040B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831" y="1621367"/>
          <a:ext cx="949935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59471</xdr:colOff>
      <xdr:row>96</xdr:row>
      <xdr:rowOff>45720</xdr:rowOff>
    </xdr:from>
    <xdr:to>
      <xdr:col>0</xdr:col>
      <xdr:colOff>1092126</xdr:colOff>
      <xdr:row>96</xdr:row>
      <xdr:rowOff>978120</xdr:rowOff>
    </xdr:to>
    <xdr:pic>
      <xdr:nvPicPr>
        <xdr:cNvPr id="112451" name="Рисунок 2">
          <a:extLst>
            <a:ext uri="{FF2B5EF4-FFF2-40B4-BE49-F238E27FC236}">
              <a16:creationId xmlns:a16="http://schemas.microsoft.com/office/drawing/2014/main" id="{00000000-0008-0000-0600-000043B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71" y="62614387"/>
          <a:ext cx="1032655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131452</xdr:colOff>
      <xdr:row>19</xdr:row>
      <xdr:rowOff>30480</xdr:rowOff>
    </xdr:from>
    <xdr:to>
      <xdr:col>0</xdr:col>
      <xdr:colOff>1020145</xdr:colOff>
      <xdr:row>19</xdr:row>
      <xdr:rowOff>962880</xdr:rowOff>
    </xdr:to>
    <xdr:pic>
      <xdr:nvPicPr>
        <xdr:cNvPr id="112452" name="Рисунок 1">
          <a:extLst>
            <a:ext uri="{FF2B5EF4-FFF2-40B4-BE49-F238E27FC236}">
              <a16:creationId xmlns:a16="http://schemas.microsoft.com/office/drawing/2014/main" id="{00000000-0008-0000-0600-000044B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833"/>
        <a:stretch>
          <a:fillRect/>
        </a:stretch>
      </xdr:blipFill>
      <xdr:spPr bwMode="auto">
        <a:xfrm>
          <a:off x="131452" y="93028347"/>
          <a:ext cx="888693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88511</xdr:colOff>
      <xdr:row>40</xdr:row>
      <xdr:rowOff>30480</xdr:rowOff>
    </xdr:from>
    <xdr:to>
      <xdr:col>0</xdr:col>
      <xdr:colOff>1063086</xdr:colOff>
      <xdr:row>40</xdr:row>
      <xdr:rowOff>962880</xdr:rowOff>
    </xdr:to>
    <xdr:pic>
      <xdr:nvPicPr>
        <xdr:cNvPr id="112453" name="Рисунок 2">
          <a:extLst>
            <a:ext uri="{FF2B5EF4-FFF2-40B4-BE49-F238E27FC236}">
              <a16:creationId xmlns:a16="http://schemas.microsoft.com/office/drawing/2014/main" id="{00000000-0008-0000-0600-000045B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4728"/>
        <a:stretch>
          <a:fillRect/>
        </a:stretch>
      </xdr:blipFill>
      <xdr:spPr bwMode="auto">
        <a:xfrm>
          <a:off x="88511" y="123068080"/>
          <a:ext cx="974575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98607</xdr:colOff>
      <xdr:row>18</xdr:row>
      <xdr:rowOff>30480</xdr:rowOff>
    </xdr:from>
    <xdr:to>
      <xdr:col>0</xdr:col>
      <xdr:colOff>1052990</xdr:colOff>
      <xdr:row>18</xdr:row>
      <xdr:rowOff>962880</xdr:rowOff>
    </xdr:to>
    <xdr:pic>
      <xdr:nvPicPr>
        <xdr:cNvPr id="112456" name="Рисунок 5">
          <a:extLst>
            <a:ext uri="{FF2B5EF4-FFF2-40B4-BE49-F238E27FC236}">
              <a16:creationId xmlns:a16="http://schemas.microsoft.com/office/drawing/2014/main" id="{00000000-0008-0000-0600-000048B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67" b="9306"/>
        <a:stretch>
          <a:fillRect/>
        </a:stretch>
      </xdr:blipFill>
      <xdr:spPr bwMode="auto">
        <a:xfrm>
          <a:off x="98607" y="148468080"/>
          <a:ext cx="954383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66232</xdr:colOff>
      <xdr:row>16</xdr:row>
      <xdr:rowOff>43542</xdr:rowOff>
    </xdr:from>
    <xdr:to>
      <xdr:col>0</xdr:col>
      <xdr:colOff>1085364</xdr:colOff>
      <xdr:row>16</xdr:row>
      <xdr:rowOff>975942</xdr:rowOff>
    </xdr:to>
    <xdr:pic>
      <xdr:nvPicPr>
        <xdr:cNvPr id="112458" name="Рисунок 8">
          <a:extLst>
            <a:ext uri="{FF2B5EF4-FFF2-40B4-BE49-F238E27FC236}">
              <a16:creationId xmlns:a16="http://schemas.microsoft.com/office/drawing/2014/main" id="{00000000-0008-0000-0600-00004AB7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189" b="12193"/>
        <a:stretch/>
      </xdr:blipFill>
      <xdr:spPr bwMode="auto">
        <a:xfrm>
          <a:off x="66232" y="124097142"/>
          <a:ext cx="1019132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199109</xdr:colOff>
      <xdr:row>108</xdr:row>
      <xdr:rowOff>30480</xdr:rowOff>
    </xdr:from>
    <xdr:to>
      <xdr:col>0</xdr:col>
      <xdr:colOff>952488</xdr:colOff>
      <xdr:row>108</xdr:row>
      <xdr:rowOff>962880</xdr:rowOff>
    </xdr:to>
    <xdr:pic>
      <xdr:nvPicPr>
        <xdr:cNvPr id="112463" name="Рисунок 13">
          <a:extLst>
            <a:ext uri="{FF2B5EF4-FFF2-40B4-BE49-F238E27FC236}">
              <a16:creationId xmlns:a16="http://schemas.microsoft.com/office/drawing/2014/main" id="{00000000-0008-0000-0600-00004FB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488" b="5406"/>
        <a:stretch>
          <a:fillRect/>
        </a:stretch>
      </xdr:blipFill>
      <xdr:spPr bwMode="auto">
        <a:xfrm>
          <a:off x="199109" y="67679147"/>
          <a:ext cx="753379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139959</xdr:colOff>
      <xdr:row>67</xdr:row>
      <xdr:rowOff>43542</xdr:rowOff>
    </xdr:from>
    <xdr:to>
      <xdr:col>0</xdr:col>
      <xdr:colOff>1011637</xdr:colOff>
      <xdr:row>67</xdr:row>
      <xdr:rowOff>975942</xdr:rowOff>
    </xdr:to>
    <xdr:pic>
      <xdr:nvPicPr>
        <xdr:cNvPr id="112465" name="Рисунок 15">
          <a:extLst>
            <a:ext uri="{FF2B5EF4-FFF2-40B4-BE49-F238E27FC236}">
              <a16:creationId xmlns:a16="http://schemas.microsoft.com/office/drawing/2014/main" id="{00000000-0008-0000-0600-000051B7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721" b="16031"/>
        <a:stretch/>
      </xdr:blipFill>
      <xdr:spPr bwMode="auto">
        <a:xfrm>
          <a:off x="139959" y="113022742"/>
          <a:ext cx="871678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107506</xdr:colOff>
      <xdr:row>88</xdr:row>
      <xdr:rowOff>30479</xdr:rowOff>
    </xdr:from>
    <xdr:to>
      <xdr:col>0</xdr:col>
      <xdr:colOff>1044091</xdr:colOff>
      <xdr:row>88</xdr:row>
      <xdr:rowOff>962879</xdr:rowOff>
    </xdr:to>
    <xdr:pic>
      <xdr:nvPicPr>
        <xdr:cNvPr id="112467" name="Рисунок 7">
          <a:extLst>
            <a:ext uri="{FF2B5EF4-FFF2-40B4-BE49-F238E27FC236}">
              <a16:creationId xmlns:a16="http://schemas.microsoft.com/office/drawing/2014/main" id="{00000000-0008-0000-0600-000053B7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5335"/>
        <a:stretch/>
      </xdr:blipFill>
      <xdr:spPr bwMode="auto">
        <a:xfrm>
          <a:off x="107506" y="94027412"/>
          <a:ext cx="936585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48152</xdr:colOff>
      <xdr:row>43</xdr:row>
      <xdr:rowOff>47413</xdr:rowOff>
    </xdr:from>
    <xdr:to>
      <xdr:col>0</xdr:col>
      <xdr:colOff>1103445</xdr:colOff>
      <xdr:row>43</xdr:row>
      <xdr:rowOff>979813</xdr:rowOff>
    </xdr:to>
    <xdr:pic>
      <xdr:nvPicPr>
        <xdr:cNvPr id="112469" name="Рисунок 1">
          <a:extLst>
            <a:ext uri="{FF2B5EF4-FFF2-40B4-BE49-F238E27FC236}">
              <a16:creationId xmlns:a16="http://schemas.microsoft.com/office/drawing/2014/main" id="{00000000-0008-0000-0600-000055B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025" t="19791" r="20454" b="41098"/>
        <a:stretch>
          <a:fillRect/>
        </a:stretch>
      </xdr:blipFill>
      <xdr:spPr bwMode="auto">
        <a:xfrm>
          <a:off x="48152" y="143405013"/>
          <a:ext cx="1055293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124517</xdr:colOff>
      <xdr:row>20</xdr:row>
      <xdr:rowOff>30480</xdr:rowOff>
    </xdr:from>
    <xdr:to>
      <xdr:col>0</xdr:col>
      <xdr:colOff>1027080</xdr:colOff>
      <xdr:row>20</xdr:row>
      <xdr:rowOff>962880</xdr:rowOff>
    </xdr:to>
    <xdr:pic>
      <xdr:nvPicPr>
        <xdr:cNvPr id="112472" name="Рисунок 2">
          <a:extLst>
            <a:ext uri="{FF2B5EF4-FFF2-40B4-BE49-F238E27FC236}">
              <a16:creationId xmlns:a16="http://schemas.microsoft.com/office/drawing/2014/main" id="{00000000-0008-0000-0600-000058B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517" y="142372080"/>
          <a:ext cx="902563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143165</xdr:colOff>
      <xdr:row>68</xdr:row>
      <xdr:rowOff>30480</xdr:rowOff>
    </xdr:from>
    <xdr:to>
      <xdr:col>0</xdr:col>
      <xdr:colOff>1008432</xdr:colOff>
      <xdr:row>68</xdr:row>
      <xdr:rowOff>962880</xdr:rowOff>
    </xdr:to>
    <xdr:pic>
      <xdr:nvPicPr>
        <xdr:cNvPr id="112473" name="Рисунок 3">
          <a:extLst>
            <a:ext uri="{FF2B5EF4-FFF2-40B4-BE49-F238E27FC236}">
              <a16:creationId xmlns:a16="http://schemas.microsoft.com/office/drawing/2014/main" id="{00000000-0008-0000-0600-000059B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161"/>
        <a:stretch>
          <a:fillRect/>
        </a:stretch>
      </xdr:blipFill>
      <xdr:spPr bwMode="auto">
        <a:xfrm>
          <a:off x="143165" y="60567147"/>
          <a:ext cx="865267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106041</xdr:colOff>
      <xdr:row>53</xdr:row>
      <xdr:rowOff>54429</xdr:rowOff>
    </xdr:from>
    <xdr:to>
      <xdr:col>0</xdr:col>
      <xdr:colOff>1045555</xdr:colOff>
      <xdr:row>53</xdr:row>
      <xdr:rowOff>986829</xdr:rowOff>
    </xdr:to>
    <xdr:pic>
      <xdr:nvPicPr>
        <xdr:cNvPr id="112475" name="Рисунок 1">
          <a:extLst>
            <a:ext uri="{FF2B5EF4-FFF2-40B4-BE49-F238E27FC236}">
              <a16:creationId xmlns:a16="http://schemas.microsoft.com/office/drawing/2014/main" id="{00000000-0008-0000-0600-00005BB701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746" b="18822"/>
        <a:stretch/>
      </xdr:blipFill>
      <xdr:spPr bwMode="auto">
        <a:xfrm>
          <a:off x="106041" y="128172029"/>
          <a:ext cx="939514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113240</xdr:colOff>
      <xdr:row>80</xdr:row>
      <xdr:rowOff>7620</xdr:rowOff>
    </xdr:from>
    <xdr:to>
      <xdr:col>0</xdr:col>
      <xdr:colOff>1038356</xdr:colOff>
      <xdr:row>80</xdr:row>
      <xdr:rowOff>940020</xdr:rowOff>
    </xdr:to>
    <xdr:pic>
      <xdr:nvPicPr>
        <xdr:cNvPr id="112477" name="Рисунок 1">
          <a:extLst>
            <a:ext uri="{FF2B5EF4-FFF2-40B4-BE49-F238E27FC236}">
              <a16:creationId xmlns:a16="http://schemas.microsoft.com/office/drawing/2014/main" id="{00000000-0008-0000-0600-00005DB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826" b="19228"/>
        <a:stretch>
          <a:fillRect/>
        </a:stretch>
      </xdr:blipFill>
      <xdr:spPr bwMode="auto">
        <a:xfrm>
          <a:off x="113240" y="103995220"/>
          <a:ext cx="925116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82939</xdr:colOff>
      <xdr:row>97</xdr:row>
      <xdr:rowOff>54429</xdr:rowOff>
    </xdr:from>
    <xdr:to>
      <xdr:col>0</xdr:col>
      <xdr:colOff>1068658</xdr:colOff>
      <xdr:row>97</xdr:row>
      <xdr:rowOff>986829</xdr:rowOff>
    </xdr:to>
    <xdr:pic>
      <xdr:nvPicPr>
        <xdr:cNvPr id="112480" name="Рисунок 4">
          <a:extLst>
            <a:ext uri="{FF2B5EF4-FFF2-40B4-BE49-F238E27FC236}">
              <a16:creationId xmlns:a16="http://schemas.microsoft.com/office/drawing/2014/main" id="{00000000-0008-0000-0600-000060B7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908" b="21148"/>
        <a:stretch/>
      </xdr:blipFill>
      <xdr:spPr bwMode="auto">
        <a:xfrm>
          <a:off x="82939" y="69735096"/>
          <a:ext cx="985719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105993</xdr:colOff>
      <xdr:row>102</xdr:row>
      <xdr:rowOff>30480</xdr:rowOff>
    </xdr:from>
    <xdr:to>
      <xdr:col>0</xdr:col>
      <xdr:colOff>1045603</xdr:colOff>
      <xdr:row>102</xdr:row>
      <xdr:rowOff>962880</xdr:rowOff>
    </xdr:to>
    <xdr:pic>
      <xdr:nvPicPr>
        <xdr:cNvPr id="112482" name="Рисунок 6">
          <a:extLst>
            <a:ext uri="{FF2B5EF4-FFF2-40B4-BE49-F238E27FC236}">
              <a16:creationId xmlns:a16="http://schemas.microsoft.com/office/drawing/2014/main" id="{00000000-0008-0000-0600-000062B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146" b="16385"/>
        <a:stretch>
          <a:fillRect/>
        </a:stretch>
      </xdr:blipFill>
      <xdr:spPr bwMode="auto">
        <a:xfrm>
          <a:off x="105993" y="54471147"/>
          <a:ext cx="939610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79806</xdr:colOff>
      <xdr:row>78</xdr:row>
      <xdr:rowOff>38100</xdr:rowOff>
    </xdr:from>
    <xdr:to>
      <xdr:col>0</xdr:col>
      <xdr:colOff>1071791</xdr:colOff>
      <xdr:row>78</xdr:row>
      <xdr:rowOff>970500</xdr:rowOff>
    </xdr:to>
    <xdr:pic>
      <xdr:nvPicPr>
        <xdr:cNvPr id="112483" name="Рисунок 7">
          <a:extLst>
            <a:ext uri="{FF2B5EF4-FFF2-40B4-BE49-F238E27FC236}">
              <a16:creationId xmlns:a16="http://schemas.microsoft.com/office/drawing/2014/main" id="{00000000-0008-0000-0600-000063B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407" b="24815"/>
        <a:stretch>
          <a:fillRect/>
        </a:stretch>
      </xdr:blipFill>
      <xdr:spPr bwMode="auto">
        <a:xfrm>
          <a:off x="79806" y="102027567"/>
          <a:ext cx="991985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128544</xdr:colOff>
      <xdr:row>54</xdr:row>
      <xdr:rowOff>30480</xdr:rowOff>
    </xdr:from>
    <xdr:to>
      <xdr:col>0</xdr:col>
      <xdr:colOff>1023052</xdr:colOff>
      <xdr:row>54</xdr:row>
      <xdr:rowOff>962880</xdr:rowOff>
    </xdr:to>
    <xdr:pic>
      <xdr:nvPicPr>
        <xdr:cNvPr id="112486" name="Рисунок 11">
          <a:extLst>
            <a:ext uri="{FF2B5EF4-FFF2-40B4-BE49-F238E27FC236}">
              <a16:creationId xmlns:a16="http://schemas.microsoft.com/office/drawing/2014/main" id="{00000000-0008-0000-0600-000066B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6" b="14592"/>
        <a:stretch>
          <a:fillRect/>
        </a:stretch>
      </xdr:blipFill>
      <xdr:spPr bwMode="auto">
        <a:xfrm>
          <a:off x="128544" y="133228080"/>
          <a:ext cx="894508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105898</xdr:colOff>
      <xdr:row>104</xdr:row>
      <xdr:rowOff>30480</xdr:rowOff>
    </xdr:from>
    <xdr:to>
      <xdr:col>0</xdr:col>
      <xdr:colOff>1045698</xdr:colOff>
      <xdr:row>104</xdr:row>
      <xdr:rowOff>962880</xdr:rowOff>
    </xdr:to>
    <xdr:pic>
      <xdr:nvPicPr>
        <xdr:cNvPr id="112496" name="Рисунок 21">
          <a:extLst>
            <a:ext uri="{FF2B5EF4-FFF2-40B4-BE49-F238E27FC236}">
              <a16:creationId xmlns:a16="http://schemas.microsoft.com/office/drawing/2014/main" id="{00000000-0008-0000-0600-000070B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826" b="19228"/>
        <a:stretch>
          <a:fillRect/>
        </a:stretch>
      </xdr:blipFill>
      <xdr:spPr bwMode="auto">
        <a:xfrm>
          <a:off x="105898" y="56503147"/>
          <a:ext cx="939800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200653</xdr:colOff>
      <xdr:row>76</xdr:row>
      <xdr:rowOff>30480</xdr:rowOff>
    </xdr:from>
    <xdr:to>
      <xdr:col>0</xdr:col>
      <xdr:colOff>950944</xdr:colOff>
      <xdr:row>76</xdr:row>
      <xdr:rowOff>962880</xdr:rowOff>
    </xdr:to>
    <xdr:pic>
      <xdr:nvPicPr>
        <xdr:cNvPr id="112497" name="Рисунок 22">
          <a:extLst>
            <a:ext uri="{FF2B5EF4-FFF2-40B4-BE49-F238E27FC236}">
              <a16:creationId xmlns:a16="http://schemas.microsoft.com/office/drawing/2014/main" id="{00000000-0008-0000-0600-000071B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47" b="4662"/>
        <a:stretch>
          <a:fillRect/>
        </a:stretch>
      </xdr:blipFill>
      <xdr:spPr bwMode="auto">
        <a:xfrm>
          <a:off x="200653" y="108014347"/>
          <a:ext cx="750291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63143</xdr:colOff>
      <xdr:row>72</xdr:row>
      <xdr:rowOff>30480</xdr:rowOff>
    </xdr:from>
    <xdr:to>
      <xdr:col>0</xdr:col>
      <xdr:colOff>1088454</xdr:colOff>
      <xdr:row>72</xdr:row>
      <xdr:rowOff>962880</xdr:rowOff>
    </xdr:to>
    <xdr:pic>
      <xdr:nvPicPr>
        <xdr:cNvPr id="112502" name="Рисунок 27">
          <a:extLst>
            <a:ext uri="{FF2B5EF4-FFF2-40B4-BE49-F238E27FC236}">
              <a16:creationId xmlns:a16="http://schemas.microsoft.com/office/drawing/2014/main" id="{00000000-0008-0000-0600-000076B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594" b="32813"/>
        <a:stretch>
          <a:fillRect/>
        </a:stretch>
      </xdr:blipFill>
      <xdr:spPr bwMode="auto">
        <a:xfrm>
          <a:off x="63143" y="14821747"/>
          <a:ext cx="1025311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134816</xdr:colOff>
      <xdr:row>110</xdr:row>
      <xdr:rowOff>30480</xdr:rowOff>
    </xdr:from>
    <xdr:to>
      <xdr:col>0</xdr:col>
      <xdr:colOff>1016780</xdr:colOff>
      <xdr:row>110</xdr:row>
      <xdr:rowOff>962880</xdr:rowOff>
    </xdr:to>
    <xdr:pic>
      <xdr:nvPicPr>
        <xdr:cNvPr id="112505" name="Рисунок 3">
          <a:extLst>
            <a:ext uri="{FF2B5EF4-FFF2-40B4-BE49-F238E27FC236}">
              <a16:creationId xmlns:a16="http://schemas.microsoft.com/office/drawing/2014/main" id="{00000000-0008-0000-0600-000079B7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0683"/>
        <a:stretch/>
      </xdr:blipFill>
      <xdr:spPr bwMode="auto">
        <a:xfrm>
          <a:off x="134816" y="71743147"/>
          <a:ext cx="881964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105994</xdr:colOff>
      <xdr:row>49</xdr:row>
      <xdr:rowOff>30480</xdr:rowOff>
    </xdr:from>
    <xdr:to>
      <xdr:col>0</xdr:col>
      <xdr:colOff>1045603</xdr:colOff>
      <xdr:row>49</xdr:row>
      <xdr:rowOff>962880</xdr:rowOff>
    </xdr:to>
    <xdr:pic>
      <xdr:nvPicPr>
        <xdr:cNvPr id="112511" name="Рисунок 2">
          <a:extLst>
            <a:ext uri="{FF2B5EF4-FFF2-40B4-BE49-F238E27FC236}">
              <a16:creationId xmlns:a16="http://schemas.microsoft.com/office/drawing/2014/main" id="{00000000-0008-0000-0600-00007FB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8" t="10814" r="-3928" b="14340"/>
        <a:stretch>
          <a:fillRect/>
        </a:stretch>
      </xdr:blipFill>
      <xdr:spPr bwMode="auto">
        <a:xfrm>
          <a:off x="105994" y="61583147"/>
          <a:ext cx="939609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156946</xdr:colOff>
      <xdr:row>32</xdr:row>
      <xdr:rowOff>30478</xdr:rowOff>
    </xdr:from>
    <xdr:to>
      <xdr:col>0</xdr:col>
      <xdr:colOff>994650</xdr:colOff>
      <xdr:row>32</xdr:row>
      <xdr:rowOff>962878</xdr:rowOff>
    </xdr:to>
    <xdr:pic>
      <xdr:nvPicPr>
        <xdr:cNvPr id="112514" name="Рисунок 121">
          <a:extLst>
            <a:ext uri="{FF2B5EF4-FFF2-40B4-BE49-F238E27FC236}">
              <a16:creationId xmlns:a16="http://schemas.microsoft.com/office/drawing/2014/main" id="{00000000-0008-0000-0600-000082B7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71" r="13698" b="40454"/>
        <a:stretch/>
      </xdr:blipFill>
      <xdr:spPr bwMode="auto">
        <a:xfrm>
          <a:off x="156946" y="2629745"/>
          <a:ext cx="837704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88511</xdr:colOff>
      <xdr:row>3</xdr:row>
      <xdr:rowOff>7620</xdr:rowOff>
    </xdr:from>
    <xdr:to>
      <xdr:col>0</xdr:col>
      <xdr:colOff>1063086</xdr:colOff>
      <xdr:row>3</xdr:row>
      <xdr:rowOff>940020</xdr:rowOff>
    </xdr:to>
    <xdr:pic>
      <xdr:nvPicPr>
        <xdr:cNvPr id="112517" name="Рисунок 5">
          <a:extLst>
            <a:ext uri="{FF2B5EF4-FFF2-40B4-BE49-F238E27FC236}">
              <a16:creationId xmlns:a16="http://schemas.microsoft.com/office/drawing/2014/main" id="{00000000-0008-0000-0600-000085B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11" y="136253220"/>
          <a:ext cx="974575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61943</xdr:colOff>
      <xdr:row>130</xdr:row>
      <xdr:rowOff>52251</xdr:rowOff>
    </xdr:from>
    <xdr:to>
      <xdr:col>0</xdr:col>
      <xdr:colOff>1089654</xdr:colOff>
      <xdr:row>130</xdr:row>
      <xdr:rowOff>984651</xdr:rowOff>
    </xdr:to>
    <xdr:pic>
      <xdr:nvPicPr>
        <xdr:cNvPr id="112523" name="Рисунок 3">
          <a:extLst>
            <a:ext uri="{FF2B5EF4-FFF2-40B4-BE49-F238E27FC236}">
              <a16:creationId xmlns:a16="http://schemas.microsoft.com/office/drawing/2014/main" id="{00000000-0008-0000-0600-00008BB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43" y="6715518"/>
          <a:ext cx="1027711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78915</xdr:colOff>
      <xdr:row>38</xdr:row>
      <xdr:rowOff>45720</xdr:rowOff>
    </xdr:from>
    <xdr:to>
      <xdr:col>0</xdr:col>
      <xdr:colOff>1072682</xdr:colOff>
      <xdr:row>38</xdr:row>
      <xdr:rowOff>978120</xdr:rowOff>
    </xdr:to>
    <xdr:pic>
      <xdr:nvPicPr>
        <xdr:cNvPr id="112524" name="Рисунок 4">
          <a:extLst>
            <a:ext uri="{FF2B5EF4-FFF2-40B4-BE49-F238E27FC236}">
              <a16:creationId xmlns:a16="http://schemas.microsoft.com/office/drawing/2014/main" id="{00000000-0008-0000-0600-00008CB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15" y="5692987"/>
          <a:ext cx="993767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140492</xdr:colOff>
      <xdr:row>99</xdr:row>
      <xdr:rowOff>40279</xdr:rowOff>
    </xdr:from>
    <xdr:to>
      <xdr:col>0</xdr:col>
      <xdr:colOff>1011104</xdr:colOff>
      <xdr:row>99</xdr:row>
      <xdr:rowOff>972679</xdr:rowOff>
    </xdr:to>
    <xdr:pic>
      <xdr:nvPicPr>
        <xdr:cNvPr id="112525" name="Рисунок 6">
          <a:extLst>
            <a:ext uri="{FF2B5EF4-FFF2-40B4-BE49-F238E27FC236}">
              <a16:creationId xmlns:a16="http://schemas.microsoft.com/office/drawing/2014/main" id="{00000000-0008-0000-0600-00008DB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0492" y="3655546"/>
          <a:ext cx="870612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105714</xdr:colOff>
      <xdr:row>65</xdr:row>
      <xdr:rowOff>30480</xdr:rowOff>
    </xdr:from>
    <xdr:to>
      <xdr:col>0</xdr:col>
      <xdr:colOff>1045883</xdr:colOff>
      <xdr:row>65</xdr:row>
      <xdr:rowOff>962880</xdr:rowOff>
    </xdr:to>
    <xdr:pic>
      <xdr:nvPicPr>
        <xdr:cNvPr id="112528" name="Рисунок 2">
          <a:extLst>
            <a:ext uri="{FF2B5EF4-FFF2-40B4-BE49-F238E27FC236}">
              <a16:creationId xmlns:a16="http://schemas.microsoft.com/office/drawing/2014/main" id="{00000000-0008-0000-0600-000090B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191" t="4214" r="3191" b="20784"/>
        <a:stretch>
          <a:fillRect/>
        </a:stretch>
      </xdr:blipFill>
      <xdr:spPr bwMode="auto">
        <a:xfrm>
          <a:off x="105714" y="65647147"/>
          <a:ext cx="940169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73361</xdr:colOff>
      <xdr:row>14</xdr:row>
      <xdr:rowOff>30480</xdr:rowOff>
    </xdr:from>
    <xdr:to>
      <xdr:col>0</xdr:col>
      <xdr:colOff>1078235</xdr:colOff>
      <xdr:row>14</xdr:row>
      <xdr:rowOff>962880</xdr:rowOff>
    </xdr:to>
    <xdr:pic>
      <xdr:nvPicPr>
        <xdr:cNvPr id="112529" name="Рисунок 3">
          <a:extLst>
            <a:ext uri="{FF2B5EF4-FFF2-40B4-BE49-F238E27FC236}">
              <a16:creationId xmlns:a16="http://schemas.microsoft.com/office/drawing/2014/main" id="{00000000-0008-0000-0600-000091B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550" r="-98" b="21629"/>
        <a:stretch>
          <a:fillRect/>
        </a:stretch>
      </xdr:blipFill>
      <xdr:spPr bwMode="auto">
        <a:xfrm>
          <a:off x="73361" y="129164080"/>
          <a:ext cx="1004874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99928</xdr:colOff>
      <xdr:row>98</xdr:row>
      <xdr:rowOff>52251</xdr:rowOff>
    </xdr:from>
    <xdr:to>
      <xdr:col>0</xdr:col>
      <xdr:colOff>1051668</xdr:colOff>
      <xdr:row>98</xdr:row>
      <xdr:rowOff>984651</xdr:rowOff>
    </xdr:to>
    <xdr:pic>
      <xdr:nvPicPr>
        <xdr:cNvPr id="112530" name="Рисунок 4">
          <a:extLst>
            <a:ext uri="{FF2B5EF4-FFF2-40B4-BE49-F238E27FC236}">
              <a16:creationId xmlns:a16="http://schemas.microsoft.com/office/drawing/2014/main" id="{00000000-0008-0000-0600-000092B701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6498"/>
        <a:stretch/>
      </xdr:blipFill>
      <xdr:spPr bwMode="auto">
        <a:xfrm>
          <a:off x="99928" y="72780918"/>
          <a:ext cx="951740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132156</xdr:colOff>
      <xdr:row>24</xdr:row>
      <xdr:rowOff>22860</xdr:rowOff>
    </xdr:from>
    <xdr:to>
      <xdr:col>0</xdr:col>
      <xdr:colOff>1019440</xdr:colOff>
      <xdr:row>24</xdr:row>
      <xdr:rowOff>955260</xdr:rowOff>
    </xdr:to>
    <xdr:pic>
      <xdr:nvPicPr>
        <xdr:cNvPr id="112531" name="Рисунок 6">
          <a:extLst>
            <a:ext uri="{FF2B5EF4-FFF2-40B4-BE49-F238E27FC236}">
              <a16:creationId xmlns:a16="http://schemas.microsoft.com/office/drawing/2014/main" id="{00000000-0008-0000-0600-000093B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156" y="121028460"/>
          <a:ext cx="887284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96230</xdr:colOff>
      <xdr:row>58</xdr:row>
      <xdr:rowOff>7620</xdr:rowOff>
    </xdr:from>
    <xdr:to>
      <xdr:col>0</xdr:col>
      <xdr:colOff>1055367</xdr:colOff>
      <xdr:row>58</xdr:row>
      <xdr:rowOff>940020</xdr:rowOff>
    </xdr:to>
    <xdr:pic>
      <xdr:nvPicPr>
        <xdr:cNvPr id="112532" name="Рисунок 4">
          <a:extLst>
            <a:ext uri="{FF2B5EF4-FFF2-40B4-BE49-F238E27FC236}">
              <a16:creationId xmlns:a16="http://schemas.microsoft.com/office/drawing/2014/main" id="{00000000-0008-0000-0600-000094B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30" y="11750887"/>
          <a:ext cx="959137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158983</xdr:colOff>
      <xdr:row>89</xdr:row>
      <xdr:rowOff>68220</xdr:rowOff>
    </xdr:from>
    <xdr:to>
      <xdr:col>0</xdr:col>
      <xdr:colOff>992614</xdr:colOff>
      <xdr:row>89</xdr:row>
      <xdr:rowOff>1000620</xdr:rowOff>
    </xdr:to>
    <xdr:pic>
      <xdr:nvPicPr>
        <xdr:cNvPr id="112533" name="Рисунок 9">
          <a:extLst>
            <a:ext uri="{FF2B5EF4-FFF2-40B4-BE49-F238E27FC236}">
              <a16:creationId xmlns:a16="http://schemas.microsoft.com/office/drawing/2014/main" id="{00000000-0008-0000-0600-000095B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58983" y="63652887"/>
          <a:ext cx="833631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141880</xdr:colOff>
      <xdr:row>21</xdr:row>
      <xdr:rowOff>60960</xdr:rowOff>
    </xdr:from>
    <xdr:to>
      <xdr:col>0</xdr:col>
      <xdr:colOff>910167</xdr:colOff>
      <xdr:row>21</xdr:row>
      <xdr:rowOff>886405</xdr:rowOff>
    </xdr:to>
    <xdr:pic>
      <xdr:nvPicPr>
        <xdr:cNvPr id="112534" name="Рисунок 4">
          <a:extLst>
            <a:ext uri="{FF2B5EF4-FFF2-40B4-BE49-F238E27FC236}">
              <a16:creationId xmlns:a16="http://schemas.microsoft.com/office/drawing/2014/main" id="{00000000-0008-0000-0600-000096B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880" y="23746460"/>
          <a:ext cx="768287" cy="8254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66054</xdr:colOff>
      <xdr:row>109</xdr:row>
      <xdr:rowOff>32657</xdr:rowOff>
    </xdr:from>
    <xdr:to>
      <xdr:col>0</xdr:col>
      <xdr:colOff>1085543</xdr:colOff>
      <xdr:row>109</xdr:row>
      <xdr:rowOff>965057</xdr:rowOff>
    </xdr:to>
    <xdr:pic>
      <xdr:nvPicPr>
        <xdr:cNvPr id="112535" name="Рисунок 3">
          <a:extLst>
            <a:ext uri="{FF2B5EF4-FFF2-40B4-BE49-F238E27FC236}">
              <a16:creationId xmlns:a16="http://schemas.microsoft.com/office/drawing/2014/main" id="{00000000-0008-0000-0600-000097B701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745" b="24638"/>
        <a:stretch/>
      </xdr:blipFill>
      <xdr:spPr bwMode="auto">
        <a:xfrm>
          <a:off x="66054" y="68697324"/>
          <a:ext cx="1019489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187920</xdr:colOff>
      <xdr:row>47</xdr:row>
      <xdr:rowOff>38100</xdr:rowOff>
    </xdr:from>
    <xdr:to>
      <xdr:col>0</xdr:col>
      <xdr:colOff>963677</xdr:colOff>
      <xdr:row>47</xdr:row>
      <xdr:rowOff>970500</xdr:rowOff>
    </xdr:to>
    <xdr:pic>
      <xdr:nvPicPr>
        <xdr:cNvPr id="112539" name="Рисунок 8">
          <a:extLst>
            <a:ext uri="{FF2B5EF4-FFF2-40B4-BE49-F238E27FC236}">
              <a16:creationId xmlns:a16="http://schemas.microsoft.com/office/drawing/2014/main" id="{00000000-0008-0000-0600-00009BB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920" y="130187700"/>
          <a:ext cx="775757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88968</xdr:colOff>
      <xdr:row>6</xdr:row>
      <xdr:rowOff>29391</xdr:rowOff>
    </xdr:from>
    <xdr:to>
      <xdr:col>0</xdr:col>
      <xdr:colOff>1062629</xdr:colOff>
      <xdr:row>6</xdr:row>
      <xdr:rowOff>961791</xdr:rowOff>
    </xdr:to>
    <xdr:pic>
      <xdr:nvPicPr>
        <xdr:cNvPr id="112543" name="Рисунок 3">
          <a:extLst>
            <a:ext uri="{FF2B5EF4-FFF2-40B4-BE49-F238E27FC236}">
              <a16:creationId xmlns:a16="http://schemas.microsoft.com/office/drawing/2014/main" id="{00000000-0008-0000-0600-00009FB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68" y="147450991"/>
          <a:ext cx="973661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79567</xdr:colOff>
      <xdr:row>112</xdr:row>
      <xdr:rowOff>50074</xdr:rowOff>
    </xdr:from>
    <xdr:to>
      <xdr:col>0</xdr:col>
      <xdr:colOff>1072029</xdr:colOff>
      <xdr:row>112</xdr:row>
      <xdr:rowOff>982474</xdr:rowOff>
    </xdr:to>
    <xdr:pic>
      <xdr:nvPicPr>
        <xdr:cNvPr id="129" name="Рисунок 4">
          <a:extLst>
            <a:ext uri="{FF2B5EF4-FFF2-40B4-BE49-F238E27FC236}">
              <a16:creationId xmlns:a16="http://schemas.microsoft.com/office/drawing/2014/main" id="{00000000-0008-0000-06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567" y="74810741"/>
          <a:ext cx="992462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159686</xdr:colOff>
      <xdr:row>29</xdr:row>
      <xdr:rowOff>48168</xdr:rowOff>
    </xdr:from>
    <xdr:to>
      <xdr:col>0</xdr:col>
      <xdr:colOff>991911</xdr:colOff>
      <xdr:row>29</xdr:row>
      <xdr:rowOff>980568</xdr:rowOff>
    </xdr:to>
    <xdr:pic>
      <xdr:nvPicPr>
        <xdr:cNvPr id="131" name="Рисунок 9">
          <a:extLst>
            <a:ext uri="{FF2B5EF4-FFF2-40B4-BE49-F238E27FC236}">
              <a16:creationId xmlns:a16="http://schemas.microsoft.com/office/drawing/2014/main" id="{00000000-0008-0000-06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169" b="24603"/>
        <a:stretch>
          <a:fillRect/>
        </a:stretch>
      </xdr:blipFill>
      <xdr:spPr bwMode="auto">
        <a:xfrm>
          <a:off x="159686" y="157629768"/>
          <a:ext cx="832225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144563</xdr:colOff>
      <xdr:row>59</xdr:row>
      <xdr:rowOff>30480</xdr:rowOff>
    </xdr:from>
    <xdr:to>
      <xdr:col>0</xdr:col>
      <xdr:colOff>1007033</xdr:colOff>
      <xdr:row>59</xdr:row>
      <xdr:rowOff>962880</xdr:rowOff>
    </xdr:to>
    <xdr:pic>
      <xdr:nvPicPr>
        <xdr:cNvPr id="133" name="Рисунок 10">
          <a:extLst>
            <a:ext uri="{FF2B5EF4-FFF2-40B4-BE49-F238E27FC236}">
              <a16:creationId xmlns:a16="http://schemas.microsoft.com/office/drawing/2014/main" id="{00000000-0008-0000-06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473" b="12311"/>
        <a:stretch>
          <a:fillRect/>
        </a:stretch>
      </xdr:blipFill>
      <xdr:spPr bwMode="auto">
        <a:xfrm>
          <a:off x="144563" y="110012480"/>
          <a:ext cx="862470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128099</xdr:colOff>
      <xdr:row>101</xdr:row>
      <xdr:rowOff>22860</xdr:rowOff>
    </xdr:from>
    <xdr:to>
      <xdr:col>0</xdr:col>
      <xdr:colOff>1023498</xdr:colOff>
      <xdr:row>101</xdr:row>
      <xdr:rowOff>955260</xdr:rowOff>
    </xdr:to>
    <xdr:pic>
      <xdr:nvPicPr>
        <xdr:cNvPr id="136" name="Рисунок 20">
          <a:extLst>
            <a:ext uri="{FF2B5EF4-FFF2-40B4-BE49-F238E27FC236}">
              <a16:creationId xmlns:a16="http://schemas.microsoft.com/office/drawing/2014/main" id="{00000000-0008-0000-06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99" y="34135060"/>
          <a:ext cx="895399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120969</xdr:colOff>
      <xdr:row>62</xdr:row>
      <xdr:rowOff>22860</xdr:rowOff>
    </xdr:from>
    <xdr:to>
      <xdr:col>0</xdr:col>
      <xdr:colOff>1030628</xdr:colOff>
      <xdr:row>62</xdr:row>
      <xdr:rowOff>955260</xdr:rowOff>
    </xdr:to>
    <xdr:pic>
      <xdr:nvPicPr>
        <xdr:cNvPr id="146" name="Рисунок 11">
          <a:extLst>
            <a:ext uri="{FF2B5EF4-FFF2-40B4-BE49-F238E27FC236}">
              <a16:creationId xmlns:a16="http://schemas.microsoft.com/office/drawing/2014/main" id="{00000000-0008-0000-06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9" y="41247060"/>
          <a:ext cx="909659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150466</xdr:colOff>
      <xdr:row>57</xdr:row>
      <xdr:rowOff>81279</xdr:rowOff>
    </xdr:from>
    <xdr:to>
      <xdr:col>0</xdr:col>
      <xdr:colOff>1001130</xdr:colOff>
      <xdr:row>57</xdr:row>
      <xdr:rowOff>1013679</xdr:rowOff>
    </xdr:to>
    <xdr:pic>
      <xdr:nvPicPr>
        <xdr:cNvPr id="149" name="Рисунок 13">
          <a:extLst>
            <a:ext uri="{FF2B5EF4-FFF2-40B4-BE49-F238E27FC236}">
              <a16:creationId xmlns:a16="http://schemas.microsoft.com/office/drawing/2014/main" id="{00000000-0008-0000-06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614" b="9364"/>
        <a:stretch>
          <a:fillRect/>
        </a:stretch>
      </xdr:blipFill>
      <xdr:spPr bwMode="auto">
        <a:xfrm>
          <a:off x="150466" y="126166879"/>
          <a:ext cx="850664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181032</xdr:colOff>
      <xdr:row>90</xdr:row>
      <xdr:rowOff>30480</xdr:rowOff>
    </xdr:from>
    <xdr:to>
      <xdr:col>0</xdr:col>
      <xdr:colOff>970565</xdr:colOff>
      <xdr:row>90</xdr:row>
      <xdr:rowOff>962880</xdr:rowOff>
    </xdr:to>
    <xdr:pic>
      <xdr:nvPicPr>
        <xdr:cNvPr id="153" name="Рисунок 15">
          <a:extLst>
            <a:ext uri="{FF2B5EF4-FFF2-40B4-BE49-F238E27FC236}">
              <a16:creationId xmlns:a16="http://schemas.microsoft.com/office/drawing/2014/main" id="{00000000-0008-0000-06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032" y="75807147"/>
          <a:ext cx="789533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98634</xdr:colOff>
      <xdr:row>103</xdr:row>
      <xdr:rowOff>44137</xdr:rowOff>
    </xdr:from>
    <xdr:to>
      <xdr:col>0</xdr:col>
      <xdr:colOff>1052963</xdr:colOff>
      <xdr:row>103</xdr:row>
      <xdr:rowOff>976537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920" b="19950"/>
        <a:stretch/>
      </xdr:blipFill>
      <xdr:spPr>
        <a:xfrm>
          <a:off x="98634" y="55500804"/>
          <a:ext cx="954329" cy="932400"/>
        </a:xfrm>
        <a:prstGeom prst="rect">
          <a:avLst/>
        </a:prstGeom>
      </xdr:spPr>
    </xdr:pic>
    <xdr:clientData/>
  </xdr:twoCellAnchor>
  <xdr:twoCellAnchor>
    <xdr:from>
      <xdr:col>0</xdr:col>
      <xdr:colOff>96206</xdr:colOff>
      <xdr:row>2</xdr:row>
      <xdr:rowOff>28574</xdr:rowOff>
    </xdr:from>
    <xdr:to>
      <xdr:col>0</xdr:col>
      <xdr:colOff>1055390</xdr:colOff>
      <xdr:row>2</xdr:row>
      <xdr:rowOff>960974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062" b="24121"/>
        <a:stretch/>
      </xdr:blipFill>
      <xdr:spPr>
        <a:xfrm>
          <a:off x="96206" y="158626174"/>
          <a:ext cx="959184" cy="932400"/>
        </a:xfrm>
        <a:prstGeom prst="rect">
          <a:avLst/>
        </a:prstGeom>
      </xdr:spPr>
    </xdr:pic>
    <xdr:clientData/>
  </xdr:twoCellAnchor>
  <xdr:twoCellAnchor>
    <xdr:from>
      <xdr:col>0</xdr:col>
      <xdr:colOff>94161</xdr:colOff>
      <xdr:row>81</xdr:row>
      <xdr:rowOff>28575</xdr:rowOff>
    </xdr:from>
    <xdr:to>
      <xdr:col>0</xdr:col>
      <xdr:colOff>1057435</xdr:colOff>
      <xdr:row>81</xdr:row>
      <xdr:rowOff>960975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11" b="25769"/>
        <a:stretch/>
      </xdr:blipFill>
      <xdr:spPr>
        <a:xfrm>
          <a:off x="94161" y="105015242"/>
          <a:ext cx="963274" cy="932400"/>
        </a:xfrm>
        <a:prstGeom prst="rect">
          <a:avLst/>
        </a:prstGeom>
      </xdr:spPr>
    </xdr:pic>
    <xdr:clientData/>
  </xdr:twoCellAnchor>
  <xdr:twoCellAnchor>
    <xdr:from>
      <xdr:col>0</xdr:col>
      <xdr:colOff>77954</xdr:colOff>
      <xdr:row>52</xdr:row>
      <xdr:rowOff>28574</xdr:rowOff>
    </xdr:from>
    <xdr:to>
      <xdr:col>0</xdr:col>
      <xdr:colOff>1073643</xdr:colOff>
      <xdr:row>52</xdr:row>
      <xdr:rowOff>960974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283" b="26211"/>
        <a:stretch/>
      </xdr:blipFill>
      <xdr:spPr>
        <a:xfrm>
          <a:off x="77954" y="115005907"/>
          <a:ext cx="995689" cy="932400"/>
        </a:xfrm>
        <a:prstGeom prst="rect">
          <a:avLst/>
        </a:prstGeom>
      </xdr:spPr>
    </xdr:pic>
    <xdr:clientData/>
  </xdr:twoCellAnchor>
  <xdr:twoCellAnchor>
    <xdr:from>
      <xdr:col>0</xdr:col>
      <xdr:colOff>48702</xdr:colOff>
      <xdr:row>75</xdr:row>
      <xdr:rowOff>38099</xdr:rowOff>
    </xdr:from>
    <xdr:to>
      <xdr:col>0</xdr:col>
      <xdr:colOff>1102894</xdr:colOff>
      <xdr:row>75</xdr:row>
      <xdr:rowOff>970499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26" t="9231" r="5722" b="30561"/>
        <a:stretch/>
      </xdr:blipFill>
      <xdr:spPr>
        <a:xfrm>
          <a:off x="48702" y="107022899"/>
          <a:ext cx="1054192" cy="932400"/>
        </a:xfrm>
        <a:prstGeom prst="rect">
          <a:avLst/>
        </a:prstGeom>
      </xdr:spPr>
    </xdr:pic>
    <xdr:clientData/>
  </xdr:twoCellAnchor>
  <xdr:twoCellAnchor>
    <xdr:from>
      <xdr:col>0</xdr:col>
      <xdr:colOff>122012</xdr:colOff>
      <xdr:row>39</xdr:row>
      <xdr:rowOff>9526</xdr:rowOff>
    </xdr:from>
    <xdr:to>
      <xdr:col>0</xdr:col>
      <xdr:colOff>1029585</xdr:colOff>
      <xdr:row>39</xdr:row>
      <xdr:rowOff>941926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411" b="21565"/>
        <a:stretch/>
      </xdr:blipFill>
      <xdr:spPr>
        <a:xfrm>
          <a:off x="122012" y="115985926"/>
          <a:ext cx="907573" cy="932400"/>
        </a:xfrm>
        <a:prstGeom prst="rect">
          <a:avLst/>
        </a:prstGeom>
      </xdr:spPr>
    </xdr:pic>
    <xdr:clientData/>
  </xdr:twoCellAnchor>
  <xdr:twoCellAnchor>
    <xdr:from>
      <xdr:col>0</xdr:col>
      <xdr:colOff>96727</xdr:colOff>
      <xdr:row>11</xdr:row>
      <xdr:rowOff>28575</xdr:rowOff>
    </xdr:from>
    <xdr:to>
      <xdr:col>0</xdr:col>
      <xdr:colOff>1054870</xdr:colOff>
      <xdr:row>11</xdr:row>
      <xdr:rowOff>960975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565" b="23284"/>
        <a:stretch/>
      </xdr:blipFill>
      <xdr:spPr>
        <a:xfrm>
          <a:off x="96727" y="146434175"/>
          <a:ext cx="958143" cy="932400"/>
        </a:xfrm>
        <a:prstGeom prst="rect">
          <a:avLst/>
        </a:prstGeom>
      </xdr:spPr>
    </xdr:pic>
    <xdr:clientData/>
  </xdr:twoCellAnchor>
  <xdr:twoCellAnchor>
    <xdr:from>
      <xdr:col>0</xdr:col>
      <xdr:colOff>82858</xdr:colOff>
      <xdr:row>74</xdr:row>
      <xdr:rowOff>19049</xdr:rowOff>
    </xdr:from>
    <xdr:to>
      <xdr:col>0</xdr:col>
      <xdr:colOff>1068739</xdr:colOff>
      <xdr:row>74</xdr:row>
      <xdr:rowOff>951449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283" b="25412"/>
        <a:stretch/>
      </xdr:blipFill>
      <xdr:spPr>
        <a:xfrm>
          <a:off x="82858" y="101009449"/>
          <a:ext cx="985881" cy="932400"/>
        </a:xfrm>
        <a:prstGeom prst="rect">
          <a:avLst/>
        </a:prstGeom>
      </xdr:spPr>
    </xdr:pic>
    <xdr:clientData/>
  </xdr:twoCellAnchor>
  <xdr:twoCellAnchor>
    <xdr:from>
      <xdr:col>0</xdr:col>
      <xdr:colOff>118979</xdr:colOff>
      <xdr:row>85</xdr:row>
      <xdr:rowOff>38100</xdr:rowOff>
    </xdr:from>
    <xdr:to>
      <xdr:col>0</xdr:col>
      <xdr:colOff>1032617</xdr:colOff>
      <xdr:row>85</xdr:row>
      <xdr:rowOff>970500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57" b="23107"/>
        <a:stretch/>
      </xdr:blipFill>
      <xdr:spPr>
        <a:xfrm>
          <a:off x="118979" y="97032233"/>
          <a:ext cx="913638" cy="932400"/>
        </a:xfrm>
        <a:prstGeom prst="rect">
          <a:avLst/>
        </a:prstGeom>
      </xdr:spPr>
    </xdr:pic>
    <xdr:clientData/>
  </xdr:twoCellAnchor>
  <xdr:twoCellAnchor>
    <xdr:from>
      <xdr:col>0</xdr:col>
      <xdr:colOff>128246</xdr:colOff>
      <xdr:row>63</xdr:row>
      <xdr:rowOff>19051</xdr:rowOff>
    </xdr:from>
    <xdr:to>
      <xdr:col>0</xdr:col>
      <xdr:colOff>1023350</xdr:colOff>
      <xdr:row>63</xdr:row>
      <xdr:rowOff>951451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73" b="17902"/>
        <a:stretch/>
      </xdr:blipFill>
      <xdr:spPr>
        <a:xfrm>
          <a:off x="128246" y="118992651"/>
          <a:ext cx="895104" cy="932400"/>
        </a:xfrm>
        <a:prstGeom prst="rect">
          <a:avLst/>
        </a:prstGeom>
      </xdr:spPr>
    </xdr:pic>
    <xdr:clientData/>
  </xdr:twoCellAnchor>
  <xdr:twoCellAnchor>
    <xdr:from>
      <xdr:col>0</xdr:col>
      <xdr:colOff>113330</xdr:colOff>
      <xdr:row>66</xdr:row>
      <xdr:rowOff>38101</xdr:rowOff>
    </xdr:from>
    <xdr:to>
      <xdr:col>0</xdr:col>
      <xdr:colOff>1038267</xdr:colOff>
      <xdr:row>66</xdr:row>
      <xdr:rowOff>970501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172" b="18329"/>
        <a:stretch/>
      </xdr:blipFill>
      <xdr:spPr>
        <a:xfrm>
          <a:off x="113330" y="114016368"/>
          <a:ext cx="924937" cy="932400"/>
        </a:xfrm>
        <a:prstGeom prst="rect">
          <a:avLst/>
        </a:prstGeom>
      </xdr:spPr>
    </xdr:pic>
    <xdr:clientData/>
  </xdr:twoCellAnchor>
  <xdr:twoCellAnchor>
    <xdr:from>
      <xdr:col>0</xdr:col>
      <xdr:colOff>102710</xdr:colOff>
      <xdr:row>106</xdr:row>
      <xdr:rowOff>38101</xdr:rowOff>
    </xdr:from>
    <xdr:to>
      <xdr:col>0</xdr:col>
      <xdr:colOff>1048887</xdr:colOff>
      <xdr:row>106</xdr:row>
      <xdr:rowOff>970501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95" b="22059"/>
        <a:stretch/>
      </xdr:blipFill>
      <xdr:spPr>
        <a:xfrm>
          <a:off x="102710" y="59558768"/>
          <a:ext cx="946177" cy="932400"/>
        </a:xfrm>
        <a:prstGeom prst="rect">
          <a:avLst/>
        </a:prstGeom>
      </xdr:spPr>
    </xdr:pic>
    <xdr:clientData/>
  </xdr:twoCellAnchor>
  <xdr:twoCellAnchor>
    <xdr:from>
      <xdr:col>0</xdr:col>
      <xdr:colOff>90918</xdr:colOff>
      <xdr:row>42</xdr:row>
      <xdr:rowOff>38101</xdr:rowOff>
    </xdr:from>
    <xdr:to>
      <xdr:col>0</xdr:col>
      <xdr:colOff>1060678</xdr:colOff>
      <xdr:row>42</xdr:row>
      <xdr:rowOff>970501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361" b="31008"/>
        <a:stretch/>
      </xdr:blipFill>
      <xdr:spPr>
        <a:xfrm>
          <a:off x="90918" y="117013568"/>
          <a:ext cx="969760" cy="932400"/>
        </a:xfrm>
        <a:prstGeom prst="rect">
          <a:avLst/>
        </a:prstGeom>
      </xdr:spPr>
    </xdr:pic>
    <xdr:clientData/>
  </xdr:twoCellAnchor>
  <xdr:twoCellAnchor>
    <xdr:from>
      <xdr:col>0</xdr:col>
      <xdr:colOff>69455</xdr:colOff>
      <xdr:row>23</xdr:row>
      <xdr:rowOff>73478</xdr:rowOff>
    </xdr:from>
    <xdr:to>
      <xdr:col>0</xdr:col>
      <xdr:colOff>1082142</xdr:colOff>
      <xdr:row>23</xdr:row>
      <xdr:rowOff>1005878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639" b="26785"/>
        <a:stretch/>
      </xdr:blipFill>
      <xdr:spPr>
        <a:xfrm>
          <a:off x="69455" y="152575078"/>
          <a:ext cx="1012687" cy="932400"/>
        </a:xfrm>
        <a:prstGeom prst="rect">
          <a:avLst/>
        </a:prstGeom>
      </xdr:spPr>
    </xdr:pic>
    <xdr:clientData/>
  </xdr:twoCellAnchor>
  <xdr:twoCellAnchor>
    <xdr:from>
      <xdr:col>0</xdr:col>
      <xdr:colOff>121075</xdr:colOff>
      <xdr:row>22</xdr:row>
      <xdr:rowOff>47624</xdr:rowOff>
    </xdr:from>
    <xdr:to>
      <xdr:col>0</xdr:col>
      <xdr:colOff>1030522</xdr:colOff>
      <xdr:row>22</xdr:row>
      <xdr:rowOff>980024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596" b="20956"/>
        <a:stretch/>
      </xdr:blipFill>
      <xdr:spPr>
        <a:xfrm>
          <a:off x="121075" y="151533224"/>
          <a:ext cx="909447" cy="932400"/>
        </a:xfrm>
        <a:prstGeom prst="rect">
          <a:avLst/>
        </a:prstGeom>
      </xdr:spPr>
    </xdr:pic>
    <xdr:clientData/>
  </xdr:twoCellAnchor>
  <xdr:twoCellAnchor>
    <xdr:from>
      <xdr:col>0</xdr:col>
      <xdr:colOff>104459</xdr:colOff>
      <xdr:row>7</xdr:row>
      <xdr:rowOff>20320</xdr:rowOff>
    </xdr:from>
    <xdr:to>
      <xdr:col>0</xdr:col>
      <xdr:colOff>1047137</xdr:colOff>
      <xdr:row>7</xdr:row>
      <xdr:rowOff>952720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38" b="29800"/>
        <a:stretch/>
      </xdr:blipFill>
      <xdr:spPr>
        <a:xfrm>
          <a:off x="104459" y="153537920"/>
          <a:ext cx="942678" cy="932400"/>
        </a:xfrm>
        <a:prstGeom prst="rect">
          <a:avLst/>
        </a:prstGeom>
      </xdr:spPr>
    </xdr:pic>
    <xdr:clientData/>
  </xdr:twoCellAnchor>
  <xdr:twoCellAnchor>
    <xdr:from>
      <xdr:col>0</xdr:col>
      <xdr:colOff>110382</xdr:colOff>
      <xdr:row>10</xdr:row>
      <xdr:rowOff>20964</xdr:rowOff>
    </xdr:from>
    <xdr:to>
      <xdr:col>0</xdr:col>
      <xdr:colOff>1041215</xdr:colOff>
      <xdr:row>10</xdr:row>
      <xdr:rowOff>953364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3762"/>
        <a:stretch/>
      </xdr:blipFill>
      <xdr:spPr>
        <a:xfrm>
          <a:off x="110382" y="149474564"/>
          <a:ext cx="930833" cy="932400"/>
        </a:xfrm>
        <a:prstGeom prst="rect">
          <a:avLst/>
        </a:prstGeom>
      </xdr:spPr>
    </xdr:pic>
    <xdr:clientData/>
  </xdr:twoCellAnchor>
  <xdr:twoCellAnchor>
    <xdr:from>
      <xdr:col>0</xdr:col>
      <xdr:colOff>165457</xdr:colOff>
      <xdr:row>60</xdr:row>
      <xdr:rowOff>12700</xdr:rowOff>
    </xdr:from>
    <xdr:to>
      <xdr:col>0</xdr:col>
      <xdr:colOff>986140</xdr:colOff>
      <xdr:row>60</xdr:row>
      <xdr:rowOff>945100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6271"/>
        <a:stretch/>
      </xdr:blipFill>
      <xdr:spPr>
        <a:xfrm>
          <a:off x="165457" y="122034300"/>
          <a:ext cx="820683" cy="932400"/>
        </a:xfrm>
        <a:prstGeom prst="rect">
          <a:avLst/>
        </a:prstGeom>
      </xdr:spPr>
    </xdr:pic>
    <xdr:clientData/>
  </xdr:twoCellAnchor>
  <xdr:twoCellAnchor>
    <xdr:from>
      <xdr:col>0</xdr:col>
      <xdr:colOff>168708</xdr:colOff>
      <xdr:row>33</xdr:row>
      <xdr:rowOff>48498</xdr:rowOff>
    </xdr:from>
    <xdr:to>
      <xdr:col>0</xdr:col>
      <xdr:colOff>982888</xdr:colOff>
      <xdr:row>33</xdr:row>
      <xdr:rowOff>980898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4355"/>
        <a:stretch/>
      </xdr:blipFill>
      <xdr:spPr>
        <a:xfrm>
          <a:off x="168708" y="120038098"/>
          <a:ext cx="814180" cy="932400"/>
        </a:xfrm>
        <a:prstGeom prst="rect">
          <a:avLst/>
        </a:prstGeom>
      </xdr:spPr>
    </xdr:pic>
    <xdr:clientData/>
  </xdr:twoCellAnchor>
  <xdr:twoCellAnchor>
    <xdr:from>
      <xdr:col>0</xdr:col>
      <xdr:colOff>106147</xdr:colOff>
      <xdr:row>64</xdr:row>
      <xdr:rowOff>38100</xdr:rowOff>
    </xdr:from>
    <xdr:to>
      <xdr:col>0</xdr:col>
      <xdr:colOff>1045449</xdr:colOff>
      <xdr:row>64</xdr:row>
      <xdr:rowOff>970500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5525"/>
        <a:stretch/>
      </xdr:blipFill>
      <xdr:spPr>
        <a:xfrm>
          <a:off x="106147" y="58542767"/>
          <a:ext cx="939302" cy="932400"/>
        </a:xfrm>
        <a:prstGeom prst="rect">
          <a:avLst/>
        </a:prstGeom>
      </xdr:spPr>
    </xdr:pic>
    <xdr:clientData/>
  </xdr:twoCellAnchor>
  <xdr:twoCellAnchor>
    <xdr:from>
      <xdr:col>0</xdr:col>
      <xdr:colOff>141171</xdr:colOff>
      <xdr:row>105</xdr:row>
      <xdr:rowOff>12699</xdr:rowOff>
    </xdr:from>
    <xdr:to>
      <xdr:col>0</xdr:col>
      <xdr:colOff>1010426</xdr:colOff>
      <xdr:row>105</xdr:row>
      <xdr:rowOff>945099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9552"/>
        <a:stretch/>
      </xdr:blipFill>
      <xdr:spPr>
        <a:xfrm>
          <a:off x="141171" y="57501366"/>
          <a:ext cx="869255" cy="932400"/>
        </a:xfrm>
        <a:prstGeom prst="rect">
          <a:avLst/>
        </a:prstGeom>
      </xdr:spPr>
    </xdr:pic>
    <xdr:clientData/>
  </xdr:twoCellAnchor>
  <xdr:twoCellAnchor>
    <xdr:from>
      <xdr:col>0</xdr:col>
      <xdr:colOff>139145</xdr:colOff>
      <xdr:row>69</xdr:row>
      <xdr:rowOff>38100</xdr:rowOff>
    </xdr:from>
    <xdr:to>
      <xdr:col>0</xdr:col>
      <xdr:colOff>1012452</xdr:colOff>
      <xdr:row>69</xdr:row>
      <xdr:rowOff>970500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9925"/>
        <a:stretch/>
      </xdr:blipFill>
      <xdr:spPr>
        <a:xfrm>
          <a:off x="139145" y="111019167"/>
          <a:ext cx="873307" cy="932400"/>
        </a:xfrm>
        <a:prstGeom prst="rect">
          <a:avLst/>
        </a:prstGeom>
      </xdr:spPr>
    </xdr:pic>
    <xdr:clientData/>
  </xdr:twoCellAnchor>
  <xdr:twoCellAnchor>
    <xdr:from>
      <xdr:col>0</xdr:col>
      <xdr:colOff>103648</xdr:colOff>
      <xdr:row>84</xdr:row>
      <xdr:rowOff>45888</xdr:rowOff>
    </xdr:from>
    <xdr:to>
      <xdr:col>0</xdr:col>
      <xdr:colOff>1047948</xdr:colOff>
      <xdr:row>84</xdr:row>
      <xdr:rowOff>978288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6326"/>
        <a:stretch/>
      </xdr:blipFill>
      <xdr:spPr>
        <a:xfrm>
          <a:off x="103648" y="96040955"/>
          <a:ext cx="944300" cy="932400"/>
        </a:xfrm>
        <a:prstGeom prst="rect">
          <a:avLst/>
        </a:prstGeom>
      </xdr:spPr>
    </xdr:pic>
    <xdr:clientData/>
  </xdr:twoCellAnchor>
  <xdr:twoCellAnchor>
    <xdr:from>
      <xdr:col>0</xdr:col>
      <xdr:colOff>150575</xdr:colOff>
      <xdr:row>17</xdr:row>
      <xdr:rowOff>36286</xdr:rowOff>
    </xdr:from>
    <xdr:to>
      <xdr:col>0</xdr:col>
      <xdr:colOff>1001022</xdr:colOff>
      <xdr:row>17</xdr:row>
      <xdr:rowOff>968686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b="29329"/>
        <a:stretch/>
      </xdr:blipFill>
      <xdr:spPr>
        <a:xfrm>
          <a:off x="150575" y="145425886"/>
          <a:ext cx="850447" cy="932400"/>
        </a:xfrm>
        <a:prstGeom prst="rect">
          <a:avLst/>
        </a:prstGeom>
      </xdr:spPr>
    </xdr:pic>
    <xdr:clientData/>
  </xdr:twoCellAnchor>
  <xdr:twoCellAnchor>
    <xdr:from>
      <xdr:col>0</xdr:col>
      <xdr:colOff>138941</xdr:colOff>
      <xdr:row>133</xdr:row>
      <xdr:rowOff>20221</xdr:rowOff>
    </xdr:from>
    <xdr:to>
      <xdr:col>0</xdr:col>
      <xdr:colOff>1012656</xdr:colOff>
      <xdr:row>133</xdr:row>
      <xdr:rowOff>957800</xdr:rowOff>
    </xdr:to>
    <xdr:pic>
      <xdr:nvPicPr>
        <xdr:cNvPr id="112454" name="Рисунок 112453">
          <a:extLst>
            <a:ext uri="{FF2B5EF4-FFF2-40B4-BE49-F238E27FC236}">
              <a16:creationId xmlns:a16="http://schemas.microsoft.com/office/drawing/2014/main" id="{00000000-0008-0000-0600-000046B7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829" b="21606"/>
        <a:stretch/>
      </xdr:blipFill>
      <xdr:spPr>
        <a:xfrm>
          <a:off x="138941" y="125106754"/>
          <a:ext cx="873715" cy="937579"/>
        </a:xfrm>
        <a:prstGeom prst="rect">
          <a:avLst/>
        </a:prstGeom>
      </xdr:spPr>
    </xdr:pic>
    <xdr:clientData/>
  </xdr:twoCellAnchor>
  <xdr:twoCellAnchor>
    <xdr:from>
      <xdr:col>0</xdr:col>
      <xdr:colOff>125499</xdr:colOff>
      <xdr:row>36</xdr:row>
      <xdr:rowOff>29027</xdr:rowOff>
    </xdr:from>
    <xdr:to>
      <xdr:col>0</xdr:col>
      <xdr:colOff>1026097</xdr:colOff>
      <xdr:row>36</xdr:row>
      <xdr:rowOff>961427</xdr:rowOff>
    </xdr:to>
    <xdr:pic>
      <xdr:nvPicPr>
        <xdr:cNvPr id="112459" name="Рисунок 112458">
          <a:extLst>
            <a:ext uri="{FF2B5EF4-FFF2-40B4-BE49-F238E27FC236}">
              <a16:creationId xmlns:a16="http://schemas.microsoft.com/office/drawing/2014/main" id="{00000000-0008-0000-0600-00004BB7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2352"/>
        <a:stretch/>
      </xdr:blipFill>
      <xdr:spPr>
        <a:xfrm>
          <a:off x="125499" y="141354627"/>
          <a:ext cx="900598" cy="932400"/>
        </a:xfrm>
        <a:prstGeom prst="rect">
          <a:avLst/>
        </a:prstGeom>
      </xdr:spPr>
    </xdr:pic>
    <xdr:clientData/>
  </xdr:twoCellAnchor>
  <xdr:twoCellAnchor>
    <xdr:from>
      <xdr:col>0</xdr:col>
      <xdr:colOff>104741</xdr:colOff>
      <xdr:row>45</xdr:row>
      <xdr:rowOff>36179</xdr:rowOff>
    </xdr:from>
    <xdr:to>
      <xdr:col>0</xdr:col>
      <xdr:colOff>1046855</xdr:colOff>
      <xdr:row>45</xdr:row>
      <xdr:rowOff>968579</xdr:rowOff>
    </xdr:to>
    <xdr:pic>
      <xdr:nvPicPr>
        <xdr:cNvPr id="112460" name="Рисунок 112459">
          <a:extLst>
            <a:ext uri="{FF2B5EF4-FFF2-40B4-BE49-F238E27FC236}">
              <a16:creationId xmlns:a16="http://schemas.microsoft.com/office/drawing/2014/main" id="{00000000-0008-0000-0600-00004CB7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5800"/>
        <a:stretch/>
      </xdr:blipFill>
      <xdr:spPr>
        <a:xfrm>
          <a:off x="104741" y="91018979"/>
          <a:ext cx="942114" cy="932400"/>
        </a:xfrm>
        <a:prstGeom prst="rect">
          <a:avLst/>
        </a:prstGeom>
      </xdr:spPr>
    </xdr:pic>
    <xdr:clientData/>
  </xdr:twoCellAnchor>
  <xdr:twoCellAnchor>
    <xdr:from>
      <xdr:col>0</xdr:col>
      <xdr:colOff>221851</xdr:colOff>
      <xdr:row>15</xdr:row>
      <xdr:rowOff>42878</xdr:rowOff>
    </xdr:from>
    <xdr:to>
      <xdr:col>0</xdr:col>
      <xdr:colOff>929746</xdr:colOff>
      <xdr:row>15</xdr:row>
      <xdr:rowOff>975278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851" y="150512478"/>
          <a:ext cx="707895" cy="932400"/>
        </a:xfrm>
        <a:prstGeom prst="rect">
          <a:avLst/>
        </a:prstGeom>
      </xdr:spPr>
    </xdr:pic>
    <xdr:clientData/>
  </xdr:twoCellAnchor>
  <xdr:twoCellAnchor>
    <xdr:from>
      <xdr:col>0</xdr:col>
      <xdr:colOff>147599</xdr:colOff>
      <xdr:row>26</xdr:row>
      <xdr:rowOff>60959</xdr:rowOff>
    </xdr:from>
    <xdr:to>
      <xdr:col>0</xdr:col>
      <xdr:colOff>1003997</xdr:colOff>
      <xdr:row>26</xdr:row>
      <xdr:rowOff>993359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57" b="15758"/>
        <a:stretch/>
      </xdr:blipFill>
      <xdr:spPr>
        <a:xfrm>
          <a:off x="147599" y="134274559"/>
          <a:ext cx="856398" cy="932400"/>
        </a:xfrm>
        <a:prstGeom prst="rect">
          <a:avLst/>
        </a:prstGeom>
      </xdr:spPr>
    </xdr:pic>
    <xdr:clientData/>
  </xdr:twoCellAnchor>
  <xdr:twoCellAnchor>
    <xdr:from>
      <xdr:col>0</xdr:col>
      <xdr:colOff>101891</xdr:colOff>
      <xdr:row>56</xdr:row>
      <xdr:rowOff>30480</xdr:rowOff>
    </xdr:from>
    <xdr:to>
      <xdr:col>0</xdr:col>
      <xdr:colOff>1049706</xdr:colOff>
      <xdr:row>56</xdr:row>
      <xdr:rowOff>962880</xdr:rowOff>
    </xdr:to>
    <xdr:pic>
      <xdr:nvPicPr>
        <xdr:cNvPr id="112462" name="Рисунок 112461">
          <a:extLst>
            <a:ext uri="{FF2B5EF4-FFF2-40B4-BE49-F238E27FC236}">
              <a16:creationId xmlns:a16="http://schemas.microsoft.com/office/drawing/2014/main" id="{00000000-0008-0000-0600-00004EB7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941" b="22349"/>
        <a:stretch/>
      </xdr:blipFill>
      <xdr:spPr>
        <a:xfrm>
          <a:off x="101891" y="125100080"/>
          <a:ext cx="947815" cy="932400"/>
        </a:xfrm>
        <a:prstGeom prst="rect">
          <a:avLst/>
        </a:prstGeom>
      </xdr:spPr>
    </xdr:pic>
    <xdr:clientData/>
  </xdr:twoCellAnchor>
  <xdr:twoCellAnchor>
    <xdr:from>
      <xdr:col>0</xdr:col>
      <xdr:colOff>129758</xdr:colOff>
      <xdr:row>50</xdr:row>
      <xdr:rowOff>20319</xdr:rowOff>
    </xdr:from>
    <xdr:to>
      <xdr:col>0</xdr:col>
      <xdr:colOff>1021839</xdr:colOff>
      <xdr:row>50</xdr:row>
      <xdr:rowOff>952719</xdr:rowOff>
    </xdr:to>
    <xdr:pic>
      <xdr:nvPicPr>
        <xdr:cNvPr id="112470" name="Рисунок 112469">
          <a:extLst>
            <a:ext uri="{FF2B5EF4-FFF2-40B4-BE49-F238E27FC236}">
              <a16:creationId xmlns:a16="http://schemas.microsoft.com/office/drawing/2014/main" id="{00000000-0008-0000-0600-000056B7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50" b="15961"/>
        <a:stretch/>
      </xdr:blipFill>
      <xdr:spPr>
        <a:xfrm>
          <a:off x="129758" y="135249919"/>
          <a:ext cx="892081" cy="932400"/>
        </a:xfrm>
        <a:prstGeom prst="rect">
          <a:avLst/>
        </a:prstGeom>
      </xdr:spPr>
    </xdr:pic>
    <xdr:clientData/>
  </xdr:twoCellAnchor>
  <xdr:twoCellAnchor>
    <xdr:from>
      <xdr:col>0</xdr:col>
      <xdr:colOff>81203</xdr:colOff>
      <xdr:row>94</xdr:row>
      <xdr:rowOff>20320</xdr:rowOff>
    </xdr:from>
    <xdr:to>
      <xdr:col>0</xdr:col>
      <xdr:colOff>1070393</xdr:colOff>
      <xdr:row>94</xdr:row>
      <xdr:rowOff>952720</xdr:rowOff>
    </xdr:to>
    <xdr:pic>
      <xdr:nvPicPr>
        <xdr:cNvPr id="112474" name="Рисунок 112473">
          <a:extLst>
            <a:ext uri="{FF2B5EF4-FFF2-40B4-BE49-F238E27FC236}">
              <a16:creationId xmlns:a16="http://schemas.microsoft.com/office/drawing/2014/main" id="{00000000-0008-0000-0600-00005AB7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2909"/>
        <a:stretch/>
      </xdr:blipFill>
      <xdr:spPr>
        <a:xfrm>
          <a:off x="81203" y="77828987"/>
          <a:ext cx="989190" cy="932400"/>
        </a:xfrm>
        <a:prstGeom prst="rect">
          <a:avLst/>
        </a:prstGeom>
      </xdr:spPr>
    </xdr:pic>
    <xdr:clientData/>
  </xdr:twoCellAnchor>
  <xdr:twoCellAnchor>
    <xdr:from>
      <xdr:col>0</xdr:col>
      <xdr:colOff>80468</xdr:colOff>
      <xdr:row>113</xdr:row>
      <xdr:rowOff>10160</xdr:rowOff>
    </xdr:from>
    <xdr:to>
      <xdr:col>0</xdr:col>
      <xdr:colOff>1071129</xdr:colOff>
      <xdr:row>113</xdr:row>
      <xdr:rowOff>942560</xdr:rowOff>
    </xdr:to>
    <xdr:pic>
      <xdr:nvPicPr>
        <xdr:cNvPr id="112484" name="Рисунок 112483">
          <a:extLst>
            <a:ext uri="{FF2B5EF4-FFF2-40B4-BE49-F238E27FC236}">
              <a16:creationId xmlns:a16="http://schemas.microsoft.com/office/drawing/2014/main" id="{00000000-0008-0000-0600-000064B7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43" b="27337"/>
        <a:stretch/>
      </xdr:blipFill>
      <xdr:spPr>
        <a:xfrm>
          <a:off x="80468" y="76802827"/>
          <a:ext cx="990661" cy="932400"/>
        </a:xfrm>
        <a:prstGeom prst="rect">
          <a:avLst/>
        </a:prstGeom>
      </xdr:spPr>
    </xdr:pic>
    <xdr:clientData/>
  </xdr:twoCellAnchor>
  <xdr:twoCellAnchor>
    <xdr:from>
      <xdr:col>0</xdr:col>
      <xdr:colOff>118067</xdr:colOff>
      <xdr:row>93</xdr:row>
      <xdr:rowOff>40270</xdr:rowOff>
    </xdr:from>
    <xdr:to>
      <xdr:col>0</xdr:col>
      <xdr:colOff>1033529</xdr:colOff>
      <xdr:row>93</xdr:row>
      <xdr:rowOff>972670</xdr:rowOff>
    </xdr:to>
    <xdr:pic>
      <xdr:nvPicPr>
        <xdr:cNvPr id="112485" name="Рисунок 112484">
          <a:extLst>
            <a:ext uri="{FF2B5EF4-FFF2-40B4-BE49-F238E27FC236}">
              <a16:creationId xmlns:a16="http://schemas.microsoft.com/office/drawing/2014/main" id="{00000000-0008-0000-0600-000065B7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65" t="3181" r="10161" b="34394"/>
        <a:stretch/>
      </xdr:blipFill>
      <xdr:spPr>
        <a:xfrm>
          <a:off x="118067" y="70736937"/>
          <a:ext cx="915462" cy="932400"/>
        </a:xfrm>
        <a:prstGeom prst="rect">
          <a:avLst/>
        </a:prstGeom>
      </xdr:spPr>
    </xdr:pic>
    <xdr:clientData/>
  </xdr:twoCellAnchor>
  <xdr:twoCellAnchor>
    <xdr:from>
      <xdr:col>0</xdr:col>
      <xdr:colOff>146962</xdr:colOff>
      <xdr:row>37</xdr:row>
      <xdr:rowOff>40640</xdr:rowOff>
    </xdr:from>
    <xdr:to>
      <xdr:col>0</xdr:col>
      <xdr:colOff>1004634</xdr:colOff>
      <xdr:row>37</xdr:row>
      <xdr:rowOff>973040</xdr:rowOff>
    </xdr:to>
    <xdr:pic>
      <xdr:nvPicPr>
        <xdr:cNvPr id="112488" name="Рисунок 112487">
          <a:extLst>
            <a:ext uri="{FF2B5EF4-FFF2-40B4-BE49-F238E27FC236}">
              <a16:creationId xmlns:a16="http://schemas.microsoft.com/office/drawing/2014/main" id="{00000000-0008-0000-0600-000068B7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64" b="17601"/>
        <a:stretch/>
      </xdr:blipFill>
      <xdr:spPr>
        <a:xfrm>
          <a:off x="146962" y="81913307"/>
          <a:ext cx="857672" cy="932400"/>
        </a:xfrm>
        <a:prstGeom prst="rect">
          <a:avLst/>
        </a:prstGeom>
      </xdr:spPr>
    </xdr:pic>
    <xdr:clientData/>
  </xdr:twoCellAnchor>
  <xdr:twoCellAnchor>
    <xdr:from>
      <xdr:col>0</xdr:col>
      <xdr:colOff>51392</xdr:colOff>
      <xdr:row>95</xdr:row>
      <xdr:rowOff>30480</xdr:rowOff>
    </xdr:from>
    <xdr:to>
      <xdr:col>0</xdr:col>
      <xdr:colOff>1100205</xdr:colOff>
      <xdr:row>95</xdr:row>
      <xdr:rowOff>962880</xdr:rowOff>
    </xdr:to>
    <xdr:pic>
      <xdr:nvPicPr>
        <xdr:cNvPr id="112489" name="Рисунок 112488">
          <a:extLst>
            <a:ext uri="{FF2B5EF4-FFF2-40B4-BE49-F238E27FC236}">
              <a16:creationId xmlns:a16="http://schemas.microsoft.com/office/drawing/2014/main" id="{00000000-0008-0000-0600-000069B7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559"/>
        <a:stretch/>
      </xdr:blipFill>
      <xdr:spPr>
        <a:xfrm>
          <a:off x="51392" y="82919147"/>
          <a:ext cx="1048813" cy="932400"/>
        </a:xfrm>
        <a:prstGeom prst="rect">
          <a:avLst/>
        </a:prstGeom>
      </xdr:spPr>
    </xdr:pic>
    <xdr:clientData/>
  </xdr:twoCellAnchor>
  <xdr:twoCellAnchor>
    <xdr:from>
      <xdr:col>0</xdr:col>
      <xdr:colOff>144064</xdr:colOff>
      <xdr:row>57</xdr:row>
      <xdr:rowOff>40640</xdr:rowOff>
    </xdr:from>
    <xdr:to>
      <xdr:col>0</xdr:col>
      <xdr:colOff>1007532</xdr:colOff>
      <xdr:row>57</xdr:row>
      <xdr:rowOff>973040</xdr:rowOff>
    </xdr:to>
    <xdr:pic>
      <xdr:nvPicPr>
        <xdr:cNvPr id="112490" name="Рисунок 112489">
          <a:extLst>
            <a:ext uri="{FF2B5EF4-FFF2-40B4-BE49-F238E27FC236}">
              <a16:creationId xmlns:a16="http://schemas.microsoft.com/office/drawing/2014/main" id="{00000000-0008-0000-0600-00006AB7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785"/>
        <a:stretch/>
      </xdr:blipFill>
      <xdr:spPr>
        <a:xfrm>
          <a:off x="144064" y="126126240"/>
          <a:ext cx="863468" cy="932400"/>
        </a:xfrm>
        <a:prstGeom prst="rect">
          <a:avLst/>
        </a:prstGeom>
      </xdr:spPr>
    </xdr:pic>
    <xdr:clientData/>
  </xdr:twoCellAnchor>
  <xdr:twoCellAnchor>
    <xdr:from>
      <xdr:col>0</xdr:col>
      <xdr:colOff>53799</xdr:colOff>
      <xdr:row>116</xdr:row>
      <xdr:rowOff>50800</xdr:rowOff>
    </xdr:from>
    <xdr:to>
      <xdr:col>0</xdr:col>
      <xdr:colOff>1097797</xdr:colOff>
      <xdr:row>116</xdr:row>
      <xdr:rowOff>983200</xdr:rowOff>
    </xdr:to>
    <xdr:pic>
      <xdr:nvPicPr>
        <xdr:cNvPr id="112492" name="Рисунок 112491">
          <a:extLst>
            <a:ext uri="{FF2B5EF4-FFF2-40B4-BE49-F238E27FC236}">
              <a16:creationId xmlns:a16="http://schemas.microsoft.com/office/drawing/2014/main" id="{00000000-0008-0000-0600-00006CB7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901" r="8724" b="34805"/>
        <a:stretch/>
      </xdr:blipFill>
      <xdr:spPr>
        <a:xfrm>
          <a:off x="53799" y="84954533"/>
          <a:ext cx="1043998" cy="932400"/>
        </a:xfrm>
        <a:prstGeom prst="rect">
          <a:avLst/>
        </a:prstGeom>
      </xdr:spPr>
    </xdr:pic>
    <xdr:clientData/>
  </xdr:twoCellAnchor>
  <xdr:twoCellAnchor>
    <xdr:from>
      <xdr:col>0</xdr:col>
      <xdr:colOff>94095</xdr:colOff>
      <xdr:row>117</xdr:row>
      <xdr:rowOff>50800</xdr:rowOff>
    </xdr:from>
    <xdr:to>
      <xdr:col>0</xdr:col>
      <xdr:colOff>1057501</xdr:colOff>
      <xdr:row>117</xdr:row>
      <xdr:rowOff>983200</xdr:rowOff>
    </xdr:to>
    <xdr:pic>
      <xdr:nvPicPr>
        <xdr:cNvPr id="112493" name="Рисунок 112492">
          <a:extLst>
            <a:ext uri="{FF2B5EF4-FFF2-40B4-BE49-F238E27FC236}">
              <a16:creationId xmlns:a16="http://schemas.microsoft.com/office/drawing/2014/main" id="{00000000-0008-0000-0600-00006DB7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792" b="16387"/>
        <a:stretch/>
      </xdr:blipFill>
      <xdr:spPr>
        <a:xfrm>
          <a:off x="94095" y="86986533"/>
          <a:ext cx="963406" cy="932400"/>
        </a:xfrm>
        <a:prstGeom prst="rect">
          <a:avLst/>
        </a:prstGeom>
      </xdr:spPr>
    </xdr:pic>
    <xdr:clientData/>
  </xdr:twoCellAnchor>
  <xdr:twoCellAnchor>
    <xdr:from>
      <xdr:col>0</xdr:col>
      <xdr:colOff>93126</xdr:colOff>
      <xdr:row>111</xdr:row>
      <xdr:rowOff>30480</xdr:rowOff>
    </xdr:from>
    <xdr:to>
      <xdr:col>0</xdr:col>
      <xdr:colOff>1058471</xdr:colOff>
      <xdr:row>111</xdr:row>
      <xdr:rowOff>962880</xdr:rowOff>
    </xdr:to>
    <xdr:pic>
      <xdr:nvPicPr>
        <xdr:cNvPr id="112494" name="Рисунок 112493">
          <a:extLst>
            <a:ext uri="{FF2B5EF4-FFF2-40B4-BE49-F238E27FC236}">
              <a16:creationId xmlns:a16="http://schemas.microsoft.com/office/drawing/2014/main" id="{00000000-0008-0000-0600-00006EB7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95" b="16533"/>
        <a:stretch/>
      </xdr:blipFill>
      <xdr:spPr>
        <a:xfrm>
          <a:off x="93126" y="73775147"/>
          <a:ext cx="965345" cy="932400"/>
        </a:xfrm>
        <a:prstGeom prst="rect">
          <a:avLst/>
        </a:prstGeom>
      </xdr:spPr>
    </xdr:pic>
    <xdr:clientData/>
  </xdr:twoCellAnchor>
  <xdr:twoCellAnchor>
    <xdr:from>
      <xdr:col>0</xdr:col>
      <xdr:colOff>94486</xdr:colOff>
      <xdr:row>118</xdr:row>
      <xdr:rowOff>52494</xdr:rowOff>
    </xdr:from>
    <xdr:to>
      <xdr:col>0</xdr:col>
      <xdr:colOff>1057111</xdr:colOff>
      <xdr:row>118</xdr:row>
      <xdr:rowOff>984894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231" b="25247"/>
        <a:stretch/>
      </xdr:blipFill>
      <xdr:spPr>
        <a:xfrm>
          <a:off x="94486" y="88004227"/>
          <a:ext cx="962625" cy="9324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76298</xdr:colOff>
      <xdr:row>9</xdr:row>
      <xdr:rowOff>33867</xdr:rowOff>
    </xdr:from>
    <xdr:to>
      <xdr:col>0</xdr:col>
      <xdr:colOff>1075298</xdr:colOff>
      <xdr:row>9</xdr:row>
      <xdr:rowOff>966267</xdr:rowOff>
    </xdr:to>
    <xdr:pic>
      <xdr:nvPicPr>
        <xdr:cNvPr id="112457" name="Рисунок 112456">
          <a:extLst>
            <a:ext uri="{FF2B5EF4-FFF2-40B4-BE49-F238E27FC236}">
              <a16:creationId xmlns:a16="http://schemas.microsoft.com/office/drawing/2014/main" id="{00000000-0008-0000-0600-000049B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76298" y="109016800"/>
          <a:ext cx="999000" cy="932400"/>
        </a:xfrm>
        <a:prstGeom prst="rect">
          <a:avLst/>
        </a:prstGeom>
      </xdr:spPr>
    </xdr:pic>
    <xdr:clientData/>
  </xdr:twoCellAnchor>
  <xdr:twoCellAnchor>
    <xdr:from>
      <xdr:col>0</xdr:col>
      <xdr:colOff>53202</xdr:colOff>
      <xdr:row>115</xdr:row>
      <xdr:rowOff>33866</xdr:rowOff>
    </xdr:from>
    <xdr:to>
      <xdr:col>0</xdr:col>
      <xdr:colOff>1098394</xdr:colOff>
      <xdr:row>115</xdr:row>
      <xdr:rowOff>966266</xdr:rowOff>
    </xdr:to>
    <xdr:pic>
      <xdr:nvPicPr>
        <xdr:cNvPr id="112495" name="Рисунок 112494">
          <a:extLst>
            <a:ext uri="{FF2B5EF4-FFF2-40B4-BE49-F238E27FC236}">
              <a16:creationId xmlns:a16="http://schemas.microsoft.com/office/drawing/2014/main" id="{00000000-0008-0000-0600-00006FB7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993" t="22222" r="22440" b="37255"/>
        <a:stretch/>
      </xdr:blipFill>
      <xdr:spPr>
        <a:xfrm>
          <a:off x="53202" y="79874533"/>
          <a:ext cx="1045192" cy="932400"/>
        </a:xfrm>
        <a:prstGeom prst="rect">
          <a:avLst/>
        </a:prstGeom>
      </xdr:spPr>
    </xdr:pic>
    <xdr:clientData/>
  </xdr:twoCellAnchor>
  <xdr:twoCellAnchor>
    <xdr:from>
      <xdr:col>0</xdr:col>
      <xdr:colOff>16998</xdr:colOff>
      <xdr:row>119</xdr:row>
      <xdr:rowOff>25400</xdr:rowOff>
    </xdr:from>
    <xdr:to>
      <xdr:col>0</xdr:col>
      <xdr:colOff>1134598</xdr:colOff>
      <xdr:row>119</xdr:row>
      <xdr:rowOff>957800</xdr:rowOff>
    </xdr:to>
    <xdr:pic>
      <xdr:nvPicPr>
        <xdr:cNvPr id="112498" name="Рисунок 112497">
          <a:extLst>
            <a:ext uri="{FF2B5EF4-FFF2-40B4-BE49-F238E27FC236}">
              <a16:creationId xmlns:a16="http://schemas.microsoft.com/office/drawing/2014/main" id="{00000000-0008-0000-0600-000072B7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44" t="18573" r="12605" b="30461"/>
        <a:stretch/>
      </xdr:blipFill>
      <xdr:spPr>
        <a:xfrm>
          <a:off x="16998" y="88993133"/>
          <a:ext cx="1117600" cy="932400"/>
        </a:xfrm>
        <a:prstGeom prst="rect">
          <a:avLst/>
        </a:prstGeom>
      </xdr:spPr>
    </xdr:pic>
    <xdr:clientData/>
  </xdr:twoCellAnchor>
  <xdr:twoCellAnchor>
    <xdr:from>
      <xdr:col>0</xdr:col>
      <xdr:colOff>68773</xdr:colOff>
      <xdr:row>31</xdr:row>
      <xdr:rowOff>33868</xdr:rowOff>
    </xdr:from>
    <xdr:to>
      <xdr:col>0</xdr:col>
      <xdr:colOff>1082824</xdr:colOff>
      <xdr:row>31</xdr:row>
      <xdr:rowOff>966268</xdr:rowOff>
    </xdr:to>
    <xdr:pic>
      <xdr:nvPicPr>
        <xdr:cNvPr id="112499" name="Рисунок 112498">
          <a:extLst>
            <a:ext uri="{FF2B5EF4-FFF2-40B4-BE49-F238E27FC236}">
              <a16:creationId xmlns:a16="http://schemas.microsoft.com/office/drawing/2014/main" id="{00000000-0008-0000-0600-000073B7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60" t="15071" r="5157" b="38128"/>
        <a:stretch/>
      </xdr:blipFill>
      <xdr:spPr>
        <a:xfrm>
          <a:off x="68773" y="95029868"/>
          <a:ext cx="1014051" cy="932400"/>
        </a:xfrm>
        <a:prstGeom prst="rect">
          <a:avLst/>
        </a:prstGeom>
      </xdr:spPr>
    </xdr:pic>
    <xdr:clientData/>
  </xdr:twoCellAnchor>
  <xdr:twoCellAnchor>
    <xdr:from>
      <xdr:col>0</xdr:col>
      <xdr:colOff>114521</xdr:colOff>
      <xdr:row>82</xdr:row>
      <xdr:rowOff>25400</xdr:rowOff>
    </xdr:from>
    <xdr:to>
      <xdr:col>0</xdr:col>
      <xdr:colOff>1037076</xdr:colOff>
      <xdr:row>82</xdr:row>
      <xdr:rowOff>957800</xdr:rowOff>
    </xdr:to>
    <xdr:pic>
      <xdr:nvPicPr>
        <xdr:cNvPr id="160" name="Рисунок 159">
          <a:extLst>
            <a:ext uri="{FF2B5EF4-FFF2-40B4-BE49-F238E27FC236}">
              <a16:creationId xmlns:a16="http://schemas.microsoft.com/office/drawing/2014/main" id="{00000000-0008-0000-0600-0000A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32" b="20669"/>
        <a:stretch/>
      </xdr:blipFill>
      <xdr:spPr>
        <a:xfrm>
          <a:off x="114521" y="106011133"/>
          <a:ext cx="922555" cy="9324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</xdr:row>
      <xdr:rowOff>95250</xdr:rowOff>
    </xdr:from>
    <xdr:to>
      <xdr:col>0</xdr:col>
      <xdr:colOff>1063331</xdr:colOff>
      <xdr:row>1</xdr:row>
      <xdr:rowOff>942667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63500" y="20764500"/>
          <a:ext cx="999831" cy="847417"/>
        </a:xfrm>
        <a:prstGeom prst="rect">
          <a:avLst/>
        </a:prstGeom>
      </xdr:spPr>
    </xdr:pic>
    <xdr:clientData/>
  </xdr:twoCellAnchor>
  <xdr:twoCellAnchor editAs="oneCell">
    <xdr:from>
      <xdr:col>0</xdr:col>
      <xdr:colOff>158750</xdr:colOff>
      <xdr:row>77</xdr:row>
      <xdr:rowOff>63500</xdr:rowOff>
    </xdr:from>
    <xdr:to>
      <xdr:col>0</xdr:col>
      <xdr:colOff>1030554</xdr:colOff>
      <xdr:row>77</xdr:row>
      <xdr:rowOff>947497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158750" y="97091500"/>
          <a:ext cx="871804" cy="883997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91</xdr:row>
      <xdr:rowOff>31750</xdr:rowOff>
    </xdr:from>
    <xdr:to>
      <xdr:col>0</xdr:col>
      <xdr:colOff>1081620</xdr:colOff>
      <xdr:row>91</xdr:row>
      <xdr:rowOff>964519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63500" y="129021417"/>
          <a:ext cx="1018120" cy="932769"/>
        </a:xfrm>
        <a:prstGeom prst="rect">
          <a:avLst/>
        </a:prstGeom>
      </xdr:spPr>
    </xdr:pic>
    <xdr:clientData/>
  </xdr:twoCellAnchor>
  <xdr:twoCellAnchor editAs="oneCell">
    <xdr:from>
      <xdr:col>0</xdr:col>
      <xdr:colOff>211666</xdr:colOff>
      <xdr:row>86</xdr:row>
      <xdr:rowOff>84667</xdr:rowOff>
    </xdr:from>
    <xdr:to>
      <xdr:col>0</xdr:col>
      <xdr:colOff>918863</xdr:colOff>
      <xdr:row>86</xdr:row>
      <xdr:rowOff>968664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211666" y="64018584"/>
          <a:ext cx="707197" cy="883997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79</xdr:row>
      <xdr:rowOff>42333</xdr:rowOff>
    </xdr:from>
    <xdr:to>
      <xdr:col>0</xdr:col>
      <xdr:colOff>1075524</xdr:colOff>
      <xdr:row>79</xdr:row>
      <xdr:rowOff>932426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63500" y="55932916"/>
          <a:ext cx="1012024" cy="890093"/>
        </a:xfrm>
        <a:prstGeom prst="rect">
          <a:avLst/>
        </a:prstGeom>
      </xdr:spPr>
    </xdr:pic>
    <xdr:clientData/>
  </xdr:twoCellAnchor>
  <xdr:twoCellAnchor editAs="oneCell">
    <xdr:from>
      <xdr:col>0</xdr:col>
      <xdr:colOff>158750</xdr:colOff>
      <xdr:row>83</xdr:row>
      <xdr:rowOff>42333</xdr:rowOff>
    </xdr:from>
    <xdr:to>
      <xdr:col>0</xdr:col>
      <xdr:colOff>1067133</xdr:colOff>
      <xdr:row>83</xdr:row>
      <xdr:rowOff>975102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58750" y="59954583"/>
          <a:ext cx="908383" cy="932769"/>
        </a:xfrm>
        <a:prstGeom prst="rect">
          <a:avLst/>
        </a:prstGeom>
      </xdr:spPr>
    </xdr:pic>
    <xdr:clientData/>
  </xdr:twoCellAnchor>
  <xdr:twoCellAnchor editAs="oneCell">
    <xdr:from>
      <xdr:col>0</xdr:col>
      <xdr:colOff>52917</xdr:colOff>
      <xdr:row>71</xdr:row>
      <xdr:rowOff>74084</xdr:rowOff>
    </xdr:from>
    <xdr:to>
      <xdr:col>0</xdr:col>
      <xdr:colOff>1071037</xdr:colOff>
      <xdr:row>71</xdr:row>
      <xdr:rowOff>945888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6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52917" y="100086584"/>
          <a:ext cx="1018120" cy="871804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87</xdr:row>
      <xdr:rowOff>90959</xdr:rowOff>
    </xdr:from>
    <xdr:to>
      <xdr:col>0</xdr:col>
      <xdr:colOff>899583</xdr:colOff>
      <xdr:row>87</xdr:row>
      <xdr:rowOff>922768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254000" y="65030292"/>
          <a:ext cx="645583" cy="831809"/>
        </a:xfrm>
        <a:prstGeom prst="rect">
          <a:avLst/>
        </a:prstGeom>
      </xdr:spPr>
    </xdr:pic>
    <xdr:clientData/>
  </xdr:twoCellAnchor>
  <xdr:twoCellAnchor editAs="oneCell">
    <xdr:from>
      <xdr:col>0</xdr:col>
      <xdr:colOff>158750</xdr:colOff>
      <xdr:row>35</xdr:row>
      <xdr:rowOff>127001</xdr:rowOff>
    </xdr:from>
    <xdr:to>
      <xdr:col>0</xdr:col>
      <xdr:colOff>973667</xdr:colOff>
      <xdr:row>35</xdr:row>
      <xdr:rowOff>924164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50" y="24817918"/>
          <a:ext cx="814917" cy="797163"/>
        </a:xfrm>
        <a:prstGeom prst="rect">
          <a:avLst/>
        </a:prstGeom>
      </xdr:spPr>
    </xdr:pic>
    <xdr:clientData/>
  </xdr:twoCellAnchor>
  <xdr:twoCellAnchor editAs="oneCell">
    <xdr:from>
      <xdr:col>0</xdr:col>
      <xdr:colOff>63501</xdr:colOff>
      <xdr:row>41</xdr:row>
      <xdr:rowOff>84668</xdr:rowOff>
    </xdr:from>
    <xdr:to>
      <xdr:col>0</xdr:col>
      <xdr:colOff>976417</xdr:colOff>
      <xdr:row>41</xdr:row>
      <xdr:rowOff>941918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63501" y="28797251"/>
          <a:ext cx="912916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34</xdr:row>
      <xdr:rowOff>52916</xdr:rowOff>
    </xdr:from>
    <xdr:to>
      <xdr:col>0</xdr:col>
      <xdr:colOff>919549</xdr:colOff>
      <xdr:row>34</xdr:row>
      <xdr:rowOff>973492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127000" y="49910999"/>
          <a:ext cx="792549" cy="920576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116416</xdr:colOff>
      <xdr:row>48</xdr:row>
      <xdr:rowOff>74083</xdr:rowOff>
    </xdr:from>
    <xdr:to>
      <xdr:col>0</xdr:col>
      <xdr:colOff>994316</xdr:colOff>
      <xdr:row>48</xdr:row>
      <xdr:rowOff>964176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116416" y="54959250"/>
          <a:ext cx="877900" cy="890093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61</xdr:row>
      <xdr:rowOff>42334</xdr:rowOff>
    </xdr:from>
    <xdr:to>
      <xdr:col>0</xdr:col>
      <xdr:colOff>1062063</xdr:colOff>
      <xdr:row>61</xdr:row>
      <xdr:rowOff>975103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31750" y="55932917"/>
          <a:ext cx="1030313" cy="93276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55</xdr:row>
      <xdr:rowOff>63500</xdr:rowOff>
    </xdr:from>
    <xdr:to>
      <xdr:col>0</xdr:col>
      <xdr:colOff>1019628</xdr:colOff>
      <xdr:row>55</xdr:row>
      <xdr:rowOff>971883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6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190500" y="40862250"/>
          <a:ext cx="829128" cy="908383"/>
        </a:xfrm>
        <a:prstGeom prst="rect">
          <a:avLst/>
        </a:prstGeom>
      </xdr:spPr>
    </xdr:pic>
    <xdr:clientData/>
  </xdr:twoCellAnchor>
  <xdr:twoCellAnchor editAs="oneCell">
    <xdr:from>
      <xdr:col>0</xdr:col>
      <xdr:colOff>84667</xdr:colOff>
      <xdr:row>28</xdr:row>
      <xdr:rowOff>42334</xdr:rowOff>
    </xdr:from>
    <xdr:to>
      <xdr:col>0</xdr:col>
      <xdr:colOff>1060112</xdr:colOff>
      <xdr:row>28</xdr:row>
      <xdr:rowOff>938524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6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84667" y="33803167"/>
          <a:ext cx="975445" cy="896190"/>
        </a:xfrm>
        <a:prstGeom prst="rect">
          <a:avLst/>
        </a:prstGeom>
      </xdr:spPr>
    </xdr:pic>
    <xdr:clientData/>
  </xdr:twoCellAnchor>
  <xdr:twoCellAnchor>
    <xdr:from>
      <xdr:col>0</xdr:col>
      <xdr:colOff>190743</xdr:colOff>
      <xdr:row>44</xdr:row>
      <xdr:rowOff>47625</xdr:rowOff>
    </xdr:from>
    <xdr:to>
      <xdr:col>0</xdr:col>
      <xdr:colOff>1038983</xdr:colOff>
      <xdr:row>44</xdr:row>
      <xdr:rowOff>983625</xdr:rowOff>
    </xdr:to>
    <xdr:pic>
      <xdr:nvPicPr>
        <xdr:cNvPr id="126" name="Рисунок 125">
          <a:extLst>
            <a:ext uri="{FF2B5EF4-FFF2-40B4-BE49-F238E27FC236}">
              <a16:creationId xmlns:a16="http://schemas.microsoft.com/office/drawing/2014/main" id="{00000000-0008-0000-0600-00007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945" b="9296"/>
        <a:stretch/>
      </xdr:blipFill>
      <xdr:spPr>
        <a:xfrm>
          <a:off x="190743" y="15468600"/>
          <a:ext cx="848240" cy="145425"/>
        </a:xfrm>
        <a:prstGeom prst="rect">
          <a:avLst/>
        </a:prstGeom>
      </xdr:spPr>
    </xdr:pic>
    <xdr:clientData/>
  </xdr:twoCellAnchor>
  <xdr:twoCellAnchor editAs="oneCell">
    <xdr:from>
      <xdr:col>0</xdr:col>
      <xdr:colOff>338666</xdr:colOff>
      <xdr:row>114</xdr:row>
      <xdr:rowOff>42333</xdr:rowOff>
    </xdr:from>
    <xdr:to>
      <xdr:col>0</xdr:col>
      <xdr:colOff>997091</xdr:colOff>
      <xdr:row>114</xdr:row>
      <xdr:rowOff>956812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338666" y="106997500"/>
          <a:ext cx="658425" cy="914479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51</xdr:row>
      <xdr:rowOff>31750</xdr:rowOff>
    </xdr:from>
    <xdr:to>
      <xdr:col>0</xdr:col>
      <xdr:colOff>1041479</xdr:colOff>
      <xdr:row>51</xdr:row>
      <xdr:rowOff>952326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127000" y="41825333"/>
          <a:ext cx="914479" cy="920576"/>
        </a:xfrm>
        <a:prstGeom prst="rect">
          <a:avLst/>
        </a:prstGeom>
      </xdr:spPr>
    </xdr:pic>
    <xdr:clientData/>
  </xdr:twoCellAnchor>
  <xdr:twoCellAnchor editAs="oneCell">
    <xdr:from>
      <xdr:col>0</xdr:col>
      <xdr:colOff>84667</xdr:colOff>
      <xdr:row>100</xdr:row>
      <xdr:rowOff>95250</xdr:rowOff>
    </xdr:from>
    <xdr:to>
      <xdr:col>0</xdr:col>
      <xdr:colOff>1084498</xdr:colOff>
      <xdr:row>100</xdr:row>
      <xdr:rowOff>960957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84667" y="115009083"/>
          <a:ext cx="999831" cy="865707"/>
        </a:xfrm>
        <a:prstGeom prst="rect">
          <a:avLst/>
        </a:prstGeom>
      </xdr:spPr>
    </xdr:pic>
    <xdr:clientData/>
  </xdr:twoCellAnchor>
  <xdr:twoCellAnchor editAs="oneCell">
    <xdr:from>
      <xdr:col>0</xdr:col>
      <xdr:colOff>148167</xdr:colOff>
      <xdr:row>120</xdr:row>
      <xdr:rowOff>52917</xdr:rowOff>
    </xdr:from>
    <xdr:to>
      <xdr:col>0</xdr:col>
      <xdr:colOff>1007778</xdr:colOff>
      <xdr:row>120</xdr:row>
      <xdr:rowOff>979589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148167" y="118988417"/>
          <a:ext cx="859611" cy="926672"/>
        </a:xfrm>
        <a:prstGeom prst="rect">
          <a:avLst/>
        </a:prstGeom>
      </xdr:spPr>
    </xdr:pic>
    <xdr:clientData/>
  </xdr:twoCellAnchor>
  <xdr:twoCellAnchor>
    <xdr:from>
      <xdr:col>0</xdr:col>
      <xdr:colOff>143933</xdr:colOff>
      <xdr:row>73</xdr:row>
      <xdr:rowOff>42336</xdr:rowOff>
    </xdr:from>
    <xdr:to>
      <xdr:col>0</xdr:col>
      <xdr:colOff>990599</xdr:colOff>
      <xdr:row>73</xdr:row>
      <xdr:rowOff>965574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976" b="11240"/>
        <a:stretch/>
      </xdr:blipFill>
      <xdr:spPr>
        <a:xfrm>
          <a:off x="143933" y="126144869"/>
          <a:ext cx="846666" cy="923238"/>
        </a:xfrm>
        <a:prstGeom prst="rect">
          <a:avLst/>
        </a:prstGeom>
      </xdr:spPr>
    </xdr:pic>
    <xdr:clientData/>
  </xdr:twoCellAnchor>
  <xdr:twoCellAnchor>
    <xdr:from>
      <xdr:col>0</xdr:col>
      <xdr:colOff>152399</xdr:colOff>
      <xdr:row>121</xdr:row>
      <xdr:rowOff>33866</xdr:rowOff>
    </xdr:from>
    <xdr:to>
      <xdr:col>0</xdr:col>
      <xdr:colOff>999067</xdr:colOff>
      <xdr:row>121</xdr:row>
      <xdr:rowOff>988528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66" b="12169"/>
        <a:stretch/>
      </xdr:blipFill>
      <xdr:spPr>
        <a:xfrm>
          <a:off x="152399" y="127152399"/>
          <a:ext cx="846668" cy="954662"/>
        </a:xfrm>
        <a:prstGeom prst="rect">
          <a:avLst/>
        </a:prstGeom>
      </xdr:spPr>
    </xdr:pic>
    <xdr:clientData/>
  </xdr:twoCellAnchor>
  <xdr:twoCellAnchor>
    <xdr:from>
      <xdr:col>0</xdr:col>
      <xdr:colOff>59266</xdr:colOff>
      <xdr:row>125</xdr:row>
      <xdr:rowOff>50802</xdr:rowOff>
    </xdr:from>
    <xdr:to>
      <xdr:col>0</xdr:col>
      <xdr:colOff>1069157</xdr:colOff>
      <xdr:row>125</xdr:row>
      <xdr:rowOff>965202</xdr:rowOff>
    </xdr:to>
    <xdr:pic>
      <xdr:nvPicPr>
        <xdr:cNvPr id="112449" name="Рисунок 112448">
          <a:extLst>
            <a:ext uri="{FF2B5EF4-FFF2-40B4-BE49-F238E27FC236}">
              <a16:creationId xmlns:a16="http://schemas.microsoft.com/office/drawing/2014/main" id="{00000000-0008-0000-0600-000041B7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49" t="6781" r="4429" b="33709"/>
        <a:stretch/>
      </xdr:blipFill>
      <xdr:spPr>
        <a:xfrm>
          <a:off x="59266" y="131233335"/>
          <a:ext cx="1009891" cy="914400"/>
        </a:xfrm>
        <a:prstGeom prst="rect">
          <a:avLst/>
        </a:prstGeom>
      </xdr:spPr>
    </xdr:pic>
    <xdr:clientData/>
  </xdr:twoCellAnchor>
  <xdr:twoCellAnchor>
    <xdr:from>
      <xdr:col>0</xdr:col>
      <xdr:colOff>67732</xdr:colOff>
      <xdr:row>123</xdr:row>
      <xdr:rowOff>12965</xdr:rowOff>
    </xdr:from>
    <xdr:to>
      <xdr:col>0</xdr:col>
      <xdr:colOff>965199</xdr:colOff>
      <xdr:row>123</xdr:row>
      <xdr:rowOff>983200</xdr:rowOff>
    </xdr:to>
    <xdr:pic>
      <xdr:nvPicPr>
        <xdr:cNvPr id="130" name="Рисунок 3">
          <a:extLst>
            <a:ext uri="{FF2B5EF4-FFF2-40B4-BE49-F238E27FC236}">
              <a16:creationId xmlns:a16="http://schemas.microsoft.com/office/drawing/2014/main" id="{00000000-0008-0000-06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32" y="129163498"/>
          <a:ext cx="897467" cy="970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152399</xdr:colOff>
      <xdr:row>124</xdr:row>
      <xdr:rowOff>42331</xdr:rowOff>
    </xdr:from>
    <xdr:to>
      <xdr:col>0</xdr:col>
      <xdr:colOff>956732</xdr:colOff>
      <xdr:row>124</xdr:row>
      <xdr:rowOff>991756</xdr:rowOff>
    </xdr:to>
    <xdr:pic>
      <xdr:nvPicPr>
        <xdr:cNvPr id="132" name="Рисунок 131">
          <a:extLst>
            <a:ext uri="{FF2B5EF4-FFF2-40B4-BE49-F238E27FC236}">
              <a16:creationId xmlns:a16="http://schemas.microsoft.com/office/drawing/2014/main" id="{00000000-0008-0000-0600-00008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783" b="7687"/>
        <a:stretch/>
      </xdr:blipFill>
      <xdr:spPr>
        <a:xfrm>
          <a:off x="152399" y="130208864"/>
          <a:ext cx="804333" cy="949425"/>
        </a:xfrm>
        <a:prstGeom prst="rect">
          <a:avLst/>
        </a:prstGeom>
      </xdr:spPr>
    </xdr:pic>
    <xdr:clientData/>
  </xdr:twoCellAnchor>
  <xdr:twoCellAnchor editAs="oneCell">
    <xdr:from>
      <xdr:col>0</xdr:col>
      <xdr:colOff>135468</xdr:colOff>
      <xdr:row>127</xdr:row>
      <xdr:rowOff>33867</xdr:rowOff>
    </xdr:from>
    <xdr:to>
      <xdr:col>0</xdr:col>
      <xdr:colOff>1051358</xdr:colOff>
      <xdr:row>127</xdr:row>
      <xdr:rowOff>973667</xdr:rowOff>
    </xdr:to>
    <xdr:pic>
      <xdr:nvPicPr>
        <xdr:cNvPr id="112450" name="Рисунок 112449">
          <a:extLst>
            <a:ext uri="{FF2B5EF4-FFF2-40B4-BE49-F238E27FC236}">
              <a16:creationId xmlns:a16="http://schemas.microsoft.com/office/drawing/2014/main" id="{00000000-0008-0000-0600-000042B7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028" b="12314"/>
        <a:stretch/>
      </xdr:blipFill>
      <xdr:spPr>
        <a:xfrm>
          <a:off x="135468" y="134264400"/>
          <a:ext cx="915890" cy="939800"/>
        </a:xfrm>
        <a:prstGeom prst="rect">
          <a:avLst/>
        </a:prstGeom>
      </xdr:spPr>
    </xdr:pic>
    <xdr:clientData/>
  </xdr:twoCellAnchor>
  <xdr:twoCellAnchor editAs="oneCell">
    <xdr:from>
      <xdr:col>0</xdr:col>
      <xdr:colOff>148167</xdr:colOff>
      <xdr:row>122</xdr:row>
      <xdr:rowOff>84667</xdr:rowOff>
    </xdr:from>
    <xdr:to>
      <xdr:col>0</xdr:col>
      <xdr:colOff>1007778</xdr:colOff>
      <xdr:row>122</xdr:row>
      <xdr:rowOff>925988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2E4C0389-0702-4EDB-A791-5CFC52321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148167" y="123041834"/>
          <a:ext cx="859611" cy="841321"/>
        </a:xfrm>
        <a:prstGeom prst="rect">
          <a:avLst/>
        </a:prstGeom>
      </xdr:spPr>
    </xdr:pic>
    <xdr:clientData/>
  </xdr:twoCellAnchor>
  <xdr:twoCellAnchor editAs="oneCell">
    <xdr:from>
      <xdr:col>0</xdr:col>
      <xdr:colOff>169333</xdr:colOff>
      <xdr:row>126</xdr:row>
      <xdr:rowOff>74083</xdr:rowOff>
    </xdr:from>
    <xdr:to>
      <xdr:col>0</xdr:col>
      <xdr:colOff>992364</xdr:colOff>
      <xdr:row>126</xdr:row>
      <xdr:rowOff>951983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8AACC157-751B-4913-94AE-48C6044EB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169333" y="127052916"/>
          <a:ext cx="823031" cy="877900"/>
        </a:xfrm>
        <a:prstGeom prst="rect">
          <a:avLst/>
        </a:prstGeom>
      </xdr:spPr>
    </xdr:pic>
    <xdr:clientData/>
  </xdr:twoCellAnchor>
  <xdr:twoCellAnchor>
    <xdr:from>
      <xdr:col>0</xdr:col>
      <xdr:colOff>117041</xdr:colOff>
      <xdr:row>4</xdr:row>
      <xdr:rowOff>45720</xdr:rowOff>
    </xdr:from>
    <xdr:to>
      <xdr:col>0</xdr:col>
      <xdr:colOff>1113919</xdr:colOff>
      <xdr:row>4</xdr:row>
      <xdr:rowOff>981720</xdr:rowOff>
    </xdr:to>
    <xdr:pic>
      <xdr:nvPicPr>
        <xdr:cNvPr id="134" name="Рисунок 1">
          <a:extLst>
            <a:ext uri="{FF2B5EF4-FFF2-40B4-BE49-F238E27FC236}">
              <a16:creationId xmlns:a16="http://schemas.microsoft.com/office/drawing/2014/main" id="{C6B97CA0-41BD-4AF2-B6EA-A7AC3573D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041" y="6703695"/>
          <a:ext cx="996878" cy="14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179917</xdr:colOff>
      <xdr:row>25</xdr:row>
      <xdr:rowOff>74084</xdr:rowOff>
    </xdr:from>
    <xdr:to>
      <xdr:col>0</xdr:col>
      <xdr:colOff>966369</xdr:colOff>
      <xdr:row>25</xdr:row>
      <xdr:rowOff>970274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E6162444-9889-4F25-A911-6A0712074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179917" y="24765001"/>
          <a:ext cx="786452" cy="89619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129</xdr:row>
      <xdr:rowOff>42333</xdr:rowOff>
    </xdr:from>
    <xdr:to>
      <xdr:col>0</xdr:col>
      <xdr:colOff>1057234</xdr:colOff>
      <xdr:row>129</xdr:row>
      <xdr:rowOff>975102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E6D4A74C-F80D-4BD4-9793-7D552350F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63500" y="129032000"/>
          <a:ext cx="993734" cy="932769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128</xdr:row>
      <xdr:rowOff>105833</xdr:rowOff>
    </xdr:from>
    <xdr:to>
      <xdr:col>0</xdr:col>
      <xdr:colOff>1055967</xdr:colOff>
      <xdr:row>128</xdr:row>
      <xdr:rowOff>977637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E203D296-C629-4B92-BBB1-7633EE40B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31750" y="128090083"/>
          <a:ext cx="1024217" cy="87180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81664</xdr:colOff>
      <xdr:row>21</xdr:row>
      <xdr:rowOff>45720</xdr:rowOff>
    </xdr:from>
    <xdr:ext cx="1066399" cy="936000"/>
    <xdr:pic>
      <xdr:nvPicPr>
        <xdr:cNvPr id="111515" name="Рисунок 2">
          <a:extLst>
            <a:ext uri="{FF2B5EF4-FFF2-40B4-BE49-F238E27FC236}">
              <a16:creationId xmlns:a16="http://schemas.microsoft.com/office/drawing/2014/main" id="{00000000-0008-0000-0700-00009BB3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70" t="12796" r="18124" b="43533"/>
        <a:stretch/>
      </xdr:blipFill>
      <xdr:spPr bwMode="auto">
        <a:xfrm>
          <a:off x="81664" y="23645949"/>
          <a:ext cx="1066399" cy="93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188047</xdr:colOff>
      <xdr:row>12</xdr:row>
      <xdr:rowOff>22860</xdr:rowOff>
    </xdr:from>
    <xdr:ext cx="853632" cy="936000"/>
    <xdr:pic>
      <xdr:nvPicPr>
        <xdr:cNvPr id="111527" name="Рисунок 2">
          <a:extLst>
            <a:ext uri="{FF2B5EF4-FFF2-40B4-BE49-F238E27FC236}">
              <a16:creationId xmlns:a16="http://schemas.microsoft.com/office/drawing/2014/main" id="{00000000-0008-0000-0700-0000A7B3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047" y="32636460"/>
          <a:ext cx="853632" cy="93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128292</xdr:colOff>
      <xdr:row>15</xdr:row>
      <xdr:rowOff>38100</xdr:rowOff>
    </xdr:from>
    <xdr:ext cx="973143" cy="936000"/>
    <xdr:pic>
      <xdr:nvPicPr>
        <xdr:cNvPr id="111531" name="Рисунок 6">
          <a:extLst>
            <a:ext uri="{FF2B5EF4-FFF2-40B4-BE49-F238E27FC236}">
              <a16:creationId xmlns:a16="http://schemas.microsoft.com/office/drawing/2014/main" id="{00000000-0008-0000-0700-0000ABB3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292" y="24639814"/>
          <a:ext cx="973143" cy="93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146863</xdr:colOff>
      <xdr:row>41</xdr:row>
      <xdr:rowOff>45720</xdr:rowOff>
    </xdr:from>
    <xdr:ext cx="936000" cy="936000"/>
    <xdr:pic>
      <xdr:nvPicPr>
        <xdr:cNvPr id="111542" name="Рисунок 8">
          <a:extLst>
            <a:ext uri="{FF2B5EF4-FFF2-40B4-BE49-F238E27FC236}">
              <a16:creationId xmlns:a16="http://schemas.microsoft.com/office/drawing/2014/main" id="{00000000-0008-0000-0700-0000B6B3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588" b="16620"/>
        <a:stretch>
          <a:fillRect/>
        </a:stretch>
      </xdr:blipFill>
      <xdr:spPr bwMode="auto">
        <a:xfrm>
          <a:off x="146863" y="45733063"/>
          <a:ext cx="936000" cy="93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263863</xdr:colOff>
      <xdr:row>24</xdr:row>
      <xdr:rowOff>45720</xdr:rowOff>
    </xdr:from>
    <xdr:ext cx="702000" cy="936000"/>
    <xdr:pic>
      <xdr:nvPicPr>
        <xdr:cNvPr id="111561" name="Рисунок 5">
          <a:extLst>
            <a:ext uri="{FF2B5EF4-FFF2-40B4-BE49-F238E27FC236}">
              <a16:creationId xmlns:a16="http://schemas.microsoft.com/office/drawing/2014/main" id="{00000000-0008-0000-0700-0000C9B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863" y="34684063"/>
          <a:ext cx="702000" cy="93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242091</xdr:colOff>
      <xdr:row>10</xdr:row>
      <xdr:rowOff>43542</xdr:rowOff>
    </xdr:from>
    <xdr:ext cx="745235" cy="932400"/>
    <xdr:pic>
      <xdr:nvPicPr>
        <xdr:cNvPr id="111564" name="Рисунок 11">
          <a:extLst>
            <a:ext uri="{FF2B5EF4-FFF2-40B4-BE49-F238E27FC236}">
              <a16:creationId xmlns:a16="http://schemas.microsoft.com/office/drawing/2014/main" id="{00000000-0008-0000-0700-0000CCB301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165"/>
        <a:stretch/>
      </xdr:blipFill>
      <xdr:spPr bwMode="auto">
        <a:xfrm>
          <a:off x="242091" y="7619999"/>
          <a:ext cx="745235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163001</xdr:colOff>
      <xdr:row>39</xdr:row>
      <xdr:rowOff>38100</xdr:rowOff>
    </xdr:from>
    <xdr:ext cx="903724" cy="936000"/>
    <xdr:pic>
      <xdr:nvPicPr>
        <xdr:cNvPr id="111571" name="Рисунок 6">
          <a:extLst>
            <a:ext uri="{FF2B5EF4-FFF2-40B4-BE49-F238E27FC236}">
              <a16:creationId xmlns:a16="http://schemas.microsoft.com/office/drawing/2014/main" id="{00000000-0008-0000-0700-0000D3B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001" y="38715043"/>
          <a:ext cx="903724" cy="93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139253</xdr:colOff>
      <xdr:row>38</xdr:row>
      <xdr:rowOff>38100</xdr:rowOff>
    </xdr:from>
    <xdr:ext cx="951220" cy="936000"/>
    <xdr:pic>
      <xdr:nvPicPr>
        <xdr:cNvPr id="111574" name="Рисунок 7">
          <a:extLst>
            <a:ext uri="{FF2B5EF4-FFF2-40B4-BE49-F238E27FC236}">
              <a16:creationId xmlns:a16="http://schemas.microsoft.com/office/drawing/2014/main" id="{00000000-0008-0000-0700-0000D6B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253" y="37713557"/>
          <a:ext cx="951220" cy="93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87564</xdr:colOff>
      <xdr:row>22</xdr:row>
      <xdr:rowOff>8468</xdr:rowOff>
    </xdr:from>
    <xdr:to>
      <xdr:col>0</xdr:col>
      <xdr:colOff>1113588</xdr:colOff>
      <xdr:row>22</xdr:row>
      <xdr:rowOff>944468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3989"/>
        <a:stretch/>
      </xdr:blipFill>
      <xdr:spPr>
        <a:xfrm>
          <a:off x="87564" y="13593839"/>
          <a:ext cx="1054599" cy="93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133117</xdr:colOff>
      <xdr:row>6</xdr:row>
      <xdr:rowOff>16934</xdr:rowOff>
    </xdr:from>
    <xdr:to>
      <xdr:col>0</xdr:col>
      <xdr:colOff>1096609</xdr:colOff>
      <xdr:row>6</xdr:row>
      <xdr:rowOff>952934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902" b="25184"/>
        <a:stretch/>
      </xdr:blipFill>
      <xdr:spPr>
        <a:xfrm>
          <a:off x="133117" y="1584477"/>
          <a:ext cx="963492" cy="936000"/>
        </a:xfrm>
        <a:prstGeom prst="rect">
          <a:avLst/>
        </a:prstGeom>
      </xdr:spPr>
    </xdr:pic>
    <xdr:clientData/>
  </xdr:twoCellAnchor>
  <xdr:oneCellAnchor>
    <xdr:from>
      <xdr:col>0</xdr:col>
      <xdr:colOff>53190</xdr:colOff>
      <xdr:row>20</xdr:row>
      <xdr:rowOff>95250</xdr:rowOff>
    </xdr:from>
    <xdr:ext cx="1017160" cy="869326"/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598" b="30280"/>
        <a:stretch/>
      </xdr:blipFill>
      <xdr:spPr>
        <a:xfrm>
          <a:off x="53190" y="19431000"/>
          <a:ext cx="1017160" cy="869326"/>
        </a:xfrm>
        <a:prstGeom prst="rect">
          <a:avLst/>
        </a:prstGeom>
      </xdr:spPr>
    </xdr:pic>
    <xdr:clientData/>
  </xdr:oneCellAnchor>
  <xdr:twoCellAnchor editAs="oneCell">
    <xdr:from>
      <xdr:col>0</xdr:col>
      <xdr:colOff>141518</xdr:colOff>
      <xdr:row>9</xdr:row>
      <xdr:rowOff>19051</xdr:rowOff>
    </xdr:from>
    <xdr:to>
      <xdr:col>0</xdr:col>
      <xdr:colOff>1088208</xdr:colOff>
      <xdr:row>9</xdr:row>
      <xdr:rowOff>955051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386" b="21150"/>
        <a:stretch/>
      </xdr:blipFill>
      <xdr:spPr>
        <a:xfrm>
          <a:off x="141518" y="16608880"/>
          <a:ext cx="946690" cy="93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134322</xdr:colOff>
      <xdr:row>4</xdr:row>
      <xdr:rowOff>28575</xdr:rowOff>
    </xdr:from>
    <xdr:to>
      <xdr:col>0</xdr:col>
      <xdr:colOff>1095405</xdr:colOff>
      <xdr:row>4</xdr:row>
      <xdr:rowOff>964575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29" b="24633"/>
        <a:stretch/>
      </xdr:blipFill>
      <xdr:spPr>
        <a:xfrm>
          <a:off x="134322" y="20624346"/>
          <a:ext cx="961083" cy="93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124489</xdr:colOff>
      <xdr:row>5</xdr:row>
      <xdr:rowOff>28574</xdr:rowOff>
    </xdr:from>
    <xdr:to>
      <xdr:col>0</xdr:col>
      <xdr:colOff>1105238</xdr:colOff>
      <xdr:row>5</xdr:row>
      <xdr:rowOff>960974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595" b="28655"/>
        <a:stretch/>
      </xdr:blipFill>
      <xdr:spPr>
        <a:xfrm>
          <a:off x="124489" y="21625831"/>
          <a:ext cx="980749" cy="9324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114739</xdr:colOff>
      <xdr:row>18</xdr:row>
      <xdr:rowOff>28576</xdr:rowOff>
    </xdr:from>
    <xdr:to>
      <xdr:col>0</xdr:col>
      <xdr:colOff>1114988</xdr:colOff>
      <xdr:row>18</xdr:row>
      <xdr:rowOff>964576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372" b="30688"/>
        <a:stretch/>
      </xdr:blipFill>
      <xdr:spPr>
        <a:xfrm>
          <a:off x="114739" y="17619890"/>
          <a:ext cx="1000249" cy="93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168363</xdr:colOff>
      <xdr:row>19</xdr:row>
      <xdr:rowOff>47023</xdr:rowOff>
    </xdr:from>
    <xdr:to>
      <xdr:col>0</xdr:col>
      <xdr:colOff>1061364</xdr:colOff>
      <xdr:row>19</xdr:row>
      <xdr:rowOff>983023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525" b="21437"/>
        <a:stretch/>
      </xdr:blipFill>
      <xdr:spPr>
        <a:xfrm>
          <a:off x="168363" y="18639823"/>
          <a:ext cx="893001" cy="936000"/>
        </a:xfrm>
        <a:prstGeom prst="rect">
          <a:avLst/>
        </a:prstGeom>
      </xdr:spPr>
    </xdr:pic>
    <xdr:clientData/>
  </xdr:twoCellAnchor>
  <xdr:twoCellAnchor editAs="oneCell">
    <xdr:from>
      <xdr:col>0</xdr:col>
      <xdr:colOff>92442</xdr:colOff>
      <xdr:row>17</xdr:row>
      <xdr:rowOff>43544</xdr:rowOff>
    </xdr:from>
    <xdr:to>
      <xdr:col>0</xdr:col>
      <xdr:colOff>1118234</xdr:colOff>
      <xdr:row>17</xdr:row>
      <xdr:rowOff>975944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474" b="25109"/>
        <a:stretch/>
      </xdr:blipFill>
      <xdr:spPr>
        <a:xfrm>
          <a:off x="92442" y="3614058"/>
          <a:ext cx="1044842" cy="932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153717</xdr:colOff>
      <xdr:row>31</xdr:row>
      <xdr:rowOff>11907</xdr:rowOff>
    </xdr:from>
    <xdr:to>
      <xdr:col>0</xdr:col>
      <xdr:colOff>1047835</xdr:colOff>
      <xdr:row>31</xdr:row>
      <xdr:rowOff>947907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1486"/>
        <a:stretch/>
      </xdr:blipFill>
      <xdr:spPr>
        <a:xfrm>
          <a:off x="153717" y="20576382"/>
          <a:ext cx="894118" cy="936000"/>
        </a:xfrm>
        <a:prstGeom prst="rect">
          <a:avLst/>
        </a:prstGeom>
      </xdr:spPr>
    </xdr:pic>
    <xdr:clientData/>
  </xdr:twoCellAnchor>
  <xdr:twoCellAnchor editAs="oneCell">
    <xdr:from>
      <xdr:col>0</xdr:col>
      <xdr:colOff>93592</xdr:colOff>
      <xdr:row>16</xdr:row>
      <xdr:rowOff>32656</xdr:rowOff>
    </xdr:from>
    <xdr:to>
      <xdr:col>0</xdr:col>
      <xdr:colOff>1117085</xdr:colOff>
      <xdr:row>16</xdr:row>
      <xdr:rowOff>965056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447" b="28476"/>
        <a:stretch/>
      </xdr:blipFill>
      <xdr:spPr>
        <a:xfrm>
          <a:off x="93592" y="2601685"/>
          <a:ext cx="1042543" cy="932400"/>
        </a:xfrm>
        <a:prstGeom prst="rect">
          <a:avLst/>
        </a:prstGeom>
      </xdr:spPr>
    </xdr:pic>
    <xdr:clientData/>
  </xdr:twoCellAnchor>
  <xdr:twoCellAnchor editAs="oneCell">
    <xdr:from>
      <xdr:col>0</xdr:col>
      <xdr:colOff>138399</xdr:colOff>
      <xdr:row>40</xdr:row>
      <xdr:rowOff>37758</xdr:rowOff>
    </xdr:from>
    <xdr:to>
      <xdr:col>0</xdr:col>
      <xdr:colOff>1106513</xdr:colOff>
      <xdr:row>40</xdr:row>
      <xdr:rowOff>970158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7767"/>
        <a:stretch/>
      </xdr:blipFill>
      <xdr:spPr>
        <a:xfrm>
          <a:off x="138399" y="39716187"/>
          <a:ext cx="968114" cy="932400"/>
        </a:xfrm>
        <a:prstGeom prst="rect">
          <a:avLst/>
        </a:prstGeom>
      </xdr:spPr>
    </xdr:pic>
    <xdr:clientData/>
  </xdr:twoCellAnchor>
  <xdr:twoCellAnchor editAs="oneCell">
    <xdr:from>
      <xdr:col>0</xdr:col>
      <xdr:colOff>192727</xdr:colOff>
      <xdr:row>34</xdr:row>
      <xdr:rowOff>53560</xdr:rowOff>
    </xdr:from>
    <xdr:to>
      <xdr:col>0</xdr:col>
      <xdr:colOff>1036999</xdr:colOff>
      <xdr:row>34</xdr:row>
      <xdr:rowOff>1001467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6851"/>
        <a:stretch/>
      </xdr:blipFill>
      <xdr:spPr>
        <a:xfrm>
          <a:off x="192727" y="25656760"/>
          <a:ext cx="844272" cy="936000"/>
        </a:xfrm>
        <a:prstGeom prst="rect">
          <a:avLst/>
        </a:prstGeom>
      </xdr:spPr>
    </xdr:pic>
    <xdr:clientData/>
  </xdr:twoCellAnchor>
  <xdr:twoCellAnchor editAs="oneCell">
    <xdr:from>
      <xdr:col>0</xdr:col>
      <xdr:colOff>227247</xdr:colOff>
      <xdr:row>36</xdr:row>
      <xdr:rowOff>95248</xdr:rowOff>
    </xdr:from>
    <xdr:to>
      <xdr:col>0</xdr:col>
      <xdr:colOff>1002479</xdr:colOff>
      <xdr:row>37</xdr:row>
      <xdr:rowOff>27949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615"/>
        <a:stretch/>
      </xdr:blipFill>
      <xdr:spPr>
        <a:xfrm>
          <a:off x="227247" y="26699934"/>
          <a:ext cx="775232" cy="934185"/>
        </a:xfrm>
        <a:prstGeom prst="rect">
          <a:avLst/>
        </a:prstGeom>
      </xdr:spPr>
    </xdr:pic>
    <xdr:clientData/>
  </xdr:twoCellAnchor>
  <xdr:twoCellAnchor>
    <xdr:from>
      <xdr:col>0</xdr:col>
      <xdr:colOff>179908</xdr:colOff>
      <xdr:row>26</xdr:row>
      <xdr:rowOff>28575</xdr:rowOff>
    </xdr:from>
    <xdr:to>
      <xdr:col>0</xdr:col>
      <xdr:colOff>1049819</xdr:colOff>
      <xdr:row>26</xdr:row>
      <xdr:rowOff>964575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68" b="15334"/>
        <a:stretch/>
      </xdr:blipFill>
      <xdr:spPr>
        <a:xfrm>
          <a:off x="179908" y="27634746"/>
          <a:ext cx="869911" cy="93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140387</xdr:colOff>
      <xdr:row>37</xdr:row>
      <xdr:rowOff>38100</xdr:rowOff>
    </xdr:from>
    <xdr:to>
      <xdr:col>0</xdr:col>
      <xdr:colOff>1089339</xdr:colOff>
      <xdr:row>37</xdr:row>
      <xdr:rowOff>974100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97" b="23007"/>
        <a:stretch/>
      </xdr:blipFill>
      <xdr:spPr>
        <a:xfrm>
          <a:off x="140387" y="28645757"/>
          <a:ext cx="948952" cy="936000"/>
        </a:xfrm>
        <a:prstGeom prst="rect">
          <a:avLst/>
        </a:prstGeom>
      </xdr:spPr>
    </xdr:pic>
    <xdr:clientData/>
  </xdr:twoCellAnchor>
  <xdr:twoCellAnchor>
    <xdr:from>
      <xdr:col>0</xdr:col>
      <xdr:colOff>161190</xdr:colOff>
      <xdr:row>7</xdr:row>
      <xdr:rowOff>28575</xdr:rowOff>
    </xdr:from>
    <xdr:to>
      <xdr:col>0</xdr:col>
      <xdr:colOff>1068537</xdr:colOff>
      <xdr:row>7</xdr:row>
      <xdr:rowOff>964575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862" r="10054" b="25044"/>
        <a:stretch/>
      </xdr:blipFill>
      <xdr:spPr>
        <a:xfrm>
          <a:off x="161190" y="4600575"/>
          <a:ext cx="907347" cy="936000"/>
        </a:xfrm>
        <a:prstGeom prst="rect">
          <a:avLst/>
        </a:prstGeom>
      </xdr:spPr>
    </xdr:pic>
    <xdr:clientData/>
  </xdr:twoCellAnchor>
  <xdr:twoCellAnchor>
    <xdr:from>
      <xdr:col>0</xdr:col>
      <xdr:colOff>88784</xdr:colOff>
      <xdr:row>35</xdr:row>
      <xdr:rowOff>38100</xdr:rowOff>
    </xdr:from>
    <xdr:to>
      <xdr:col>0</xdr:col>
      <xdr:colOff>1140943</xdr:colOff>
      <xdr:row>35</xdr:row>
      <xdr:rowOff>974100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455" b="25832"/>
        <a:stretch/>
      </xdr:blipFill>
      <xdr:spPr>
        <a:xfrm>
          <a:off x="88784" y="30648729"/>
          <a:ext cx="1052159" cy="936000"/>
        </a:xfrm>
        <a:prstGeom prst="rect">
          <a:avLst/>
        </a:prstGeom>
      </xdr:spPr>
    </xdr:pic>
    <xdr:clientData/>
  </xdr:twoCellAnchor>
  <xdr:twoCellAnchor>
    <xdr:from>
      <xdr:col>0</xdr:col>
      <xdr:colOff>77162</xdr:colOff>
      <xdr:row>3</xdr:row>
      <xdr:rowOff>57150</xdr:rowOff>
    </xdr:from>
    <xdr:to>
      <xdr:col>0</xdr:col>
      <xdr:colOff>1152565</xdr:colOff>
      <xdr:row>3</xdr:row>
      <xdr:rowOff>993150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0875"/>
        <a:stretch/>
      </xdr:blipFill>
      <xdr:spPr>
        <a:xfrm>
          <a:off x="77162" y="6632121"/>
          <a:ext cx="1075403" cy="936000"/>
        </a:xfrm>
        <a:prstGeom prst="rect">
          <a:avLst/>
        </a:prstGeom>
      </xdr:spPr>
    </xdr:pic>
    <xdr:clientData/>
  </xdr:twoCellAnchor>
  <xdr:twoCellAnchor>
    <xdr:from>
      <xdr:col>0</xdr:col>
      <xdr:colOff>96491</xdr:colOff>
      <xdr:row>23</xdr:row>
      <xdr:rowOff>23133</xdr:rowOff>
    </xdr:from>
    <xdr:to>
      <xdr:col>0</xdr:col>
      <xdr:colOff>1133236</xdr:colOff>
      <xdr:row>23</xdr:row>
      <xdr:rowOff>951513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63" t="18467" r="12109" b="26307"/>
        <a:stretch/>
      </xdr:blipFill>
      <xdr:spPr>
        <a:xfrm>
          <a:off x="96491" y="9602562"/>
          <a:ext cx="1036745" cy="928380"/>
        </a:xfrm>
        <a:prstGeom prst="rect">
          <a:avLst/>
        </a:prstGeom>
      </xdr:spPr>
    </xdr:pic>
    <xdr:clientData/>
  </xdr:twoCellAnchor>
  <xdr:twoCellAnchor>
    <xdr:from>
      <xdr:col>0</xdr:col>
      <xdr:colOff>174171</xdr:colOff>
      <xdr:row>1</xdr:row>
      <xdr:rowOff>38100</xdr:rowOff>
    </xdr:from>
    <xdr:to>
      <xdr:col>0</xdr:col>
      <xdr:colOff>1037100</xdr:colOff>
      <xdr:row>1</xdr:row>
      <xdr:rowOff>966900</xdr:rowOff>
    </xdr:to>
    <xdr:pic>
      <xdr:nvPicPr>
        <xdr:cNvPr id="47" name="Рисунок 2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43" t="23090" r="14072" b="14236"/>
        <a:stretch/>
      </xdr:blipFill>
      <xdr:spPr bwMode="auto">
        <a:xfrm>
          <a:off x="174171" y="8616043"/>
          <a:ext cx="862929" cy="9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138973</xdr:colOff>
      <xdr:row>2</xdr:row>
      <xdr:rowOff>38100</xdr:rowOff>
    </xdr:from>
    <xdr:to>
      <xdr:col>0</xdr:col>
      <xdr:colOff>1090753</xdr:colOff>
      <xdr:row>2</xdr:row>
      <xdr:rowOff>974100</xdr:rowOff>
    </xdr:to>
    <xdr:pic>
      <xdr:nvPicPr>
        <xdr:cNvPr id="48" name="Рисунок 7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973" y="29647243"/>
          <a:ext cx="951780" cy="93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75881</xdr:colOff>
      <xdr:row>32</xdr:row>
      <xdr:rowOff>19050</xdr:rowOff>
    </xdr:from>
    <xdr:to>
      <xdr:col>0</xdr:col>
      <xdr:colOff>1153845</xdr:colOff>
      <xdr:row>32</xdr:row>
      <xdr:rowOff>955050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606" b="24975"/>
        <a:stretch/>
      </xdr:blipFill>
      <xdr:spPr>
        <a:xfrm>
          <a:off x="75881" y="22617793"/>
          <a:ext cx="1077964" cy="936000"/>
        </a:xfrm>
        <a:prstGeom prst="rect">
          <a:avLst/>
        </a:prstGeom>
      </xdr:spPr>
    </xdr:pic>
    <xdr:clientData/>
  </xdr:twoCellAnchor>
  <xdr:twoCellAnchor>
    <xdr:from>
      <xdr:col>0</xdr:col>
      <xdr:colOff>54271</xdr:colOff>
      <xdr:row>25</xdr:row>
      <xdr:rowOff>47625</xdr:rowOff>
    </xdr:from>
    <xdr:to>
      <xdr:col>0</xdr:col>
      <xdr:colOff>1147282</xdr:colOff>
      <xdr:row>25</xdr:row>
      <xdr:rowOff>983625</xdr:rowOff>
    </xdr:to>
    <xdr:pic>
      <xdr:nvPicPr>
        <xdr:cNvPr id="50" name="Рисунок 2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64" t="18413" r="11126" b="44193"/>
        <a:stretch/>
      </xdr:blipFill>
      <xdr:spPr bwMode="auto">
        <a:xfrm>
          <a:off x="54271" y="16611600"/>
          <a:ext cx="1093011" cy="93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68593</xdr:colOff>
      <xdr:row>27</xdr:row>
      <xdr:rowOff>32657</xdr:rowOff>
    </xdr:from>
    <xdr:to>
      <xdr:col>0</xdr:col>
      <xdr:colOff>1132959</xdr:colOff>
      <xdr:row>27</xdr:row>
      <xdr:rowOff>968657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43" t="2792" r="19079" b="52768"/>
        <a:stretch/>
      </xdr:blipFill>
      <xdr:spPr>
        <a:xfrm>
          <a:off x="68593" y="17596757"/>
          <a:ext cx="1064366" cy="936000"/>
        </a:xfrm>
        <a:prstGeom prst="rect">
          <a:avLst/>
        </a:prstGeom>
      </xdr:spPr>
    </xdr:pic>
    <xdr:clientData/>
  </xdr:twoCellAnchor>
  <xdr:twoCellAnchor>
    <xdr:from>
      <xdr:col>0</xdr:col>
      <xdr:colOff>89290</xdr:colOff>
      <xdr:row>8</xdr:row>
      <xdr:rowOff>35379</xdr:rowOff>
    </xdr:from>
    <xdr:to>
      <xdr:col>0</xdr:col>
      <xdr:colOff>1112263</xdr:colOff>
      <xdr:row>8</xdr:row>
      <xdr:rowOff>971379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94" t="4388" r="12548" b="43417"/>
        <a:stretch/>
      </xdr:blipFill>
      <xdr:spPr>
        <a:xfrm>
          <a:off x="89290" y="18599604"/>
          <a:ext cx="1022973" cy="93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166688</xdr:colOff>
      <xdr:row>33</xdr:row>
      <xdr:rowOff>71438</xdr:rowOff>
    </xdr:from>
    <xdr:to>
      <xdr:col>0</xdr:col>
      <xdr:colOff>1068974</xdr:colOff>
      <xdr:row>33</xdr:row>
      <xdr:rowOff>967628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66688" y="22371844"/>
          <a:ext cx="902286" cy="89619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30</xdr:row>
      <xdr:rowOff>59531</xdr:rowOff>
    </xdr:from>
    <xdr:to>
      <xdr:col>0</xdr:col>
      <xdr:colOff>938079</xdr:colOff>
      <xdr:row>30</xdr:row>
      <xdr:rowOff>937431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85750" y="36290250"/>
          <a:ext cx="652329" cy="8779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166687</xdr:colOff>
      <xdr:row>13</xdr:row>
      <xdr:rowOff>35719</xdr:rowOff>
    </xdr:from>
    <xdr:to>
      <xdr:col>0</xdr:col>
      <xdr:colOff>934850</xdr:colOff>
      <xdr:row>13</xdr:row>
      <xdr:rowOff>931909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66687" y="24312563"/>
          <a:ext cx="768163" cy="896190"/>
        </a:xfrm>
        <a:prstGeom prst="rect">
          <a:avLst/>
        </a:prstGeom>
      </xdr:spPr>
    </xdr:pic>
    <xdr:clientData/>
  </xdr:twoCellAnchor>
  <xdr:twoCellAnchor editAs="oneCell">
    <xdr:from>
      <xdr:col>0</xdr:col>
      <xdr:colOff>178594</xdr:colOff>
      <xdr:row>14</xdr:row>
      <xdr:rowOff>59531</xdr:rowOff>
    </xdr:from>
    <xdr:to>
      <xdr:col>0</xdr:col>
      <xdr:colOff>916274</xdr:colOff>
      <xdr:row>14</xdr:row>
      <xdr:rowOff>967914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8594" y="25324594"/>
          <a:ext cx="737680" cy="908383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166688</xdr:colOff>
      <xdr:row>11</xdr:row>
      <xdr:rowOff>71437</xdr:rowOff>
    </xdr:from>
    <xdr:to>
      <xdr:col>0</xdr:col>
      <xdr:colOff>983623</xdr:colOff>
      <xdr:row>11</xdr:row>
      <xdr:rowOff>918854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66688" y="23360062"/>
          <a:ext cx="816935" cy="847417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28</xdr:row>
      <xdr:rowOff>47627</xdr:rowOff>
    </xdr:from>
    <xdr:to>
      <xdr:col>0</xdr:col>
      <xdr:colOff>1095375</xdr:colOff>
      <xdr:row>28</xdr:row>
      <xdr:rowOff>969401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92" t="12382" r="6941" b="25709"/>
        <a:stretch/>
      </xdr:blipFill>
      <xdr:spPr>
        <a:xfrm>
          <a:off x="142875" y="40671752"/>
          <a:ext cx="952500" cy="921774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166687</xdr:colOff>
      <xdr:row>29</xdr:row>
      <xdr:rowOff>95250</xdr:rowOff>
    </xdr:from>
    <xdr:to>
      <xdr:col>0</xdr:col>
      <xdr:colOff>1087263</xdr:colOff>
      <xdr:row>29</xdr:row>
      <xdr:rowOff>967054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3F0E46E7-F261-4652-BF04-536A6743D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66687" y="29313188"/>
          <a:ext cx="920576" cy="87180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12"/>
  <sheetViews>
    <sheetView workbookViewId="0">
      <selection activeCell="B10" sqref="B10"/>
    </sheetView>
  </sheetViews>
  <sheetFormatPr defaultRowHeight="15" x14ac:dyDescent="0.25"/>
  <cols>
    <col min="2" max="2" width="61.42578125" customWidth="1"/>
  </cols>
  <sheetData>
    <row r="1" spans="1:2" ht="45" x14ac:dyDescent="0.25">
      <c r="A1" s="51">
        <v>1</v>
      </c>
      <c r="B1" s="117" t="s">
        <v>326</v>
      </c>
    </row>
    <row r="2" spans="1:2" x14ac:dyDescent="0.25">
      <c r="A2" s="51">
        <v>2</v>
      </c>
      <c r="B2" s="51" t="s">
        <v>325</v>
      </c>
    </row>
    <row r="3" spans="1:2" x14ac:dyDescent="0.25">
      <c r="A3" s="51">
        <v>3</v>
      </c>
      <c r="B3" s="51" t="s">
        <v>300</v>
      </c>
    </row>
    <row r="4" spans="1:2" x14ac:dyDescent="0.25">
      <c r="A4" s="51">
        <v>4</v>
      </c>
      <c r="B4" s="51" t="s">
        <v>324</v>
      </c>
    </row>
    <row r="5" spans="1:2" x14ac:dyDescent="0.25">
      <c r="A5" s="51">
        <v>5</v>
      </c>
      <c r="B5" s="51" t="s">
        <v>329</v>
      </c>
    </row>
    <row r="6" spans="1:2" x14ac:dyDescent="0.25">
      <c r="A6" s="51">
        <v>6</v>
      </c>
      <c r="B6" s="51" t="s">
        <v>330</v>
      </c>
    </row>
    <row r="7" spans="1:2" x14ac:dyDescent="0.25">
      <c r="A7" s="51">
        <v>7</v>
      </c>
      <c r="B7" s="51" t="s">
        <v>332</v>
      </c>
    </row>
    <row r="8" spans="1:2" x14ac:dyDescent="0.25">
      <c r="A8" s="51">
        <v>8</v>
      </c>
      <c r="B8" s="51" t="s">
        <v>333</v>
      </c>
    </row>
    <row r="9" spans="1:2" x14ac:dyDescent="0.25">
      <c r="A9" s="51">
        <v>9</v>
      </c>
      <c r="B9" s="51"/>
    </row>
    <row r="10" spans="1:2" x14ac:dyDescent="0.25">
      <c r="A10" s="51">
        <v>10</v>
      </c>
      <c r="B10" s="51"/>
    </row>
    <row r="11" spans="1:2" x14ac:dyDescent="0.25">
      <c r="A11" s="51">
        <v>11</v>
      </c>
    </row>
    <row r="12" spans="1:2" x14ac:dyDescent="0.25">
      <c r="A12">
        <v>12</v>
      </c>
      <c r="B12" s="51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22"/>
  <sheetViews>
    <sheetView zoomScale="80" zoomScaleNormal="80" workbookViewId="0">
      <selection activeCell="B4" sqref="B4"/>
    </sheetView>
  </sheetViews>
  <sheetFormatPr defaultColWidth="9.140625" defaultRowHeight="15" x14ac:dyDescent="0.25"/>
  <cols>
    <col min="1" max="1" width="16.7109375" style="51" customWidth="1"/>
    <col min="2" max="2" width="24.42578125" style="29" customWidth="1"/>
    <col min="3" max="3" width="16.42578125" style="29" customWidth="1"/>
    <col min="4" max="4" width="15.5703125" style="29" customWidth="1"/>
    <col min="5" max="5" width="18" style="29" customWidth="1"/>
    <col min="6" max="6" width="16.85546875" style="51" customWidth="1"/>
    <col min="7" max="7" width="10.5703125" style="51" customWidth="1"/>
    <col min="8" max="9" width="9.140625" style="51"/>
    <col min="10" max="10" width="23.85546875" style="51" customWidth="1"/>
    <col min="11" max="13" width="9.140625" style="51"/>
    <col min="14" max="14" width="11.42578125" style="51" customWidth="1"/>
    <col min="15" max="16384" width="9.140625" style="51"/>
  </cols>
  <sheetData>
    <row r="1" spans="1:15" s="29" customFormat="1" ht="44.45" customHeight="1" x14ac:dyDescent="0.25">
      <c r="A1" s="124" t="s">
        <v>27</v>
      </c>
      <c r="B1" s="124" t="s">
        <v>0</v>
      </c>
      <c r="C1" s="124" t="s">
        <v>64</v>
      </c>
      <c r="D1" s="124" t="s">
        <v>1</v>
      </c>
      <c r="E1" s="124" t="s">
        <v>2</v>
      </c>
      <c r="F1" s="61" t="s">
        <v>6</v>
      </c>
      <c r="G1" s="124" t="s">
        <v>5</v>
      </c>
      <c r="H1" s="124" t="s">
        <v>3</v>
      </c>
      <c r="I1" s="49" t="s">
        <v>66</v>
      </c>
    </row>
    <row r="2" spans="1:15" s="59" customFormat="1" ht="81" customHeight="1" x14ac:dyDescent="0.25">
      <c r="A2" s="17"/>
      <c r="B2" s="138" t="s">
        <v>213</v>
      </c>
      <c r="C2" s="139">
        <v>30034</v>
      </c>
      <c r="D2" s="137" t="s">
        <v>197</v>
      </c>
      <c r="E2" s="137" t="s">
        <v>28</v>
      </c>
      <c r="F2" s="81">
        <f>2+1+1</f>
        <v>4</v>
      </c>
      <c r="G2" s="81">
        <f>5+2+5</f>
        <v>12</v>
      </c>
      <c r="H2" s="81">
        <f>5+2.5+5+0.5</f>
        <v>13</v>
      </c>
      <c r="I2" s="81">
        <f>F2+G2+H2</f>
        <v>29</v>
      </c>
    </row>
    <row r="3" spans="1:15" ht="79.900000000000006" customHeight="1" x14ac:dyDescent="0.25">
      <c r="A3" s="4"/>
      <c r="B3" s="137" t="s">
        <v>279</v>
      </c>
      <c r="C3" s="139">
        <v>26975</v>
      </c>
      <c r="D3" s="137" t="s">
        <v>36</v>
      </c>
      <c r="E3" s="137" t="s">
        <v>280</v>
      </c>
      <c r="F3" s="81">
        <f>2</f>
        <v>2</v>
      </c>
      <c r="G3" s="81">
        <f>5</f>
        <v>5</v>
      </c>
      <c r="H3" s="81">
        <f>5+0.5</f>
        <v>5.5</v>
      </c>
      <c r="I3" s="81">
        <f>F3+G3+H3</f>
        <v>12.5</v>
      </c>
    </row>
    <row r="4" spans="1:15" ht="81" customHeight="1" x14ac:dyDescent="0.25">
      <c r="A4" s="4"/>
      <c r="B4" s="49" t="s">
        <v>320</v>
      </c>
      <c r="C4" s="140">
        <v>27044</v>
      </c>
      <c r="D4" s="137" t="s">
        <v>36</v>
      </c>
      <c r="E4" s="137" t="s">
        <v>280</v>
      </c>
      <c r="F4" s="81">
        <f>1</f>
        <v>1</v>
      </c>
      <c r="G4" s="81">
        <f>1</f>
        <v>1</v>
      </c>
      <c r="H4" s="81">
        <f>5</f>
        <v>5</v>
      </c>
      <c r="I4" s="81">
        <f>F4+G4+H4</f>
        <v>7</v>
      </c>
    </row>
    <row r="7" spans="1:15" x14ac:dyDescent="0.25">
      <c r="J7" s="154" t="s">
        <v>4</v>
      </c>
      <c r="K7" s="154"/>
      <c r="L7" s="154"/>
      <c r="M7" s="154"/>
      <c r="N7" s="154"/>
      <c r="O7" s="154"/>
    </row>
    <row r="8" spans="1:15" x14ac:dyDescent="0.25">
      <c r="J8" s="155" t="s">
        <v>6</v>
      </c>
      <c r="K8" s="155"/>
      <c r="L8" s="155" t="s">
        <v>5</v>
      </c>
      <c r="M8" s="155"/>
      <c r="N8" s="155" t="s">
        <v>3</v>
      </c>
      <c r="O8" s="155"/>
    </row>
    <row r="9" spans="1:15" x14ac:dyDescent="0.25">
      <c r="J9" s="2" t="s">
        <v>22</v>
      </c>
      <c r="K9" s="5" t="s">
        <v>8</v>
      </c>
      <c r="L9" s="2" t="s">
        <v>18</v>
      </c>
      <c r="M9" s="5" t="s">
        <v>8</v>
      </c>
      <c r="N9" s="2" t="s">
        <v>7</v>
      </c>
      <c r="O9" s="5" t="s">
        <v>8</v>
      </c>
    </row>
    <row r="10" spans="1:15" ht="39.6" customHeight="1" x14ac:dyDescent="0.25">
      <c r="J10" s="3" t="s">
        <v>23</v>
      </c>
      <c r="K10" s="5" t="s">
        <v>10</v>
      </c>
      <c r="L10" s="2" t="s">
        <v>19</v>
      </c>
      <c r="M10" s="5" t="s">
        <v>12</v>
      </c>
      <c r="N10" s="2" t="s">
        <v>9</v>
      </c>
      <c r="O10" s="5" t="s">
        <v>10</v>
      </c>
    </row>
    <row r="11" spans="1:15" x14ac:dyDescent="0.25">
      <c r="J11" s="2" t="s">
        <v>24</v>
      </c>
      <c r="K11" s="5" t="s">
        <v>12</v>
      </c>
      <c r="L11" s="2" t="s">
        <v>20</v>
      </c>
      <c r="M11" s="5" t="s">
        <v>14</v>
      </c>
      <c r="N11" s="2" t="s">
        <v>11</v>
      </c>
      <c r="O11" s="5" t="s">
        <v>12</v>
      </c>
    </row>
    <row r="12" spans="1:15" x14ac:dyDescent="0.25">
      <c r="J12" s="2" t="s">
        <v>25</v>
      </c>
      <c r="K12" s="5" t="s">
        <v>14</v>
      </c>
      <c r="L12" s="2" t="s">
        <v>21</v>
      </c>
      <c r="M12" s="5" t="s">
        <v>16</v>
      </c>
      <c r="N12" s="2"/>
      <c r="O12" s="5"/>
    </row>
    <row r="13" spans="1:15" x14ac:dyDescent="0.25">
      <c r="J13" s="2" t="s">
        <v>26</v>
      </c>
      <c r="K13" s="5" t="s">
        <v>16</v>
      </c>
      <c r="L13" s="4"/>
      <c r="M13" s="6"/>
      <c r="N13" s="2"/>
      <c r="O13" s="5"/>
    </row>
    <row r="14" spans="1:15" x14ac:dyDescent="0.25">
      <c r="J14" s="2"/>
      <c r="K14" s="5"/>
      <c r="L14" s="4"/>
      <c r="M14" s="6"/>
      <c r="N14" s="2" t="s">
        <v>17</v>
      </c>
      <c r="O14" s="7">
        <v>0.5</v>
      </c>
    </row>
    <row r="15" spans="1:15" x14ac:dyDescent="0.25">
      <c r="J15" s="1"/>
      <c r="K15" s="1"/>
    </row>
    <row r="17" spans="10:15" x14ac:dyDescent="0.25">
      <c r="J17" s="75" t="s">
        <v>6</v>
      </c>
      <c r="K17" s="75" t="s">
        <v>5</v>
      </c>
      <c r="L17" s="75" t="s">
        <v>3</v>
      </c>
      <c r="M17" s="75"/>
      <c r="N17" s="75"/>
      <c r="O17" s="75"/>
    </row>
    <row r="18" spans="10:15" x14ac:dyDescent="0.25">
      <c r="J18" s="75" t="s">
        <v>282</v>
      </c>
      <c r="K18" s="75" t="s">
        <v>16</v>
      </c>
      <c r="L18" s="75" t="s">
        <v>217</v>
      </c>
      <c r="M18" s="75" t="s">
        <v>14</v>
      </c>
      <c r="N18" s="75" t="s">
        <v>7</v>
      </c>
      <c r="O18" s="75" t="s">
        <v>218</v>
      </c>
    </row>
    <row r="19" spans="10:15" x14ac:dyDescent="0.25">
      <c r="J19" s="75"/>
      <c r="K19" s="75"/>
      <c r="L19" s="75" t="s">
        <v>219</v>
      </c>
      <c r="M19" s="75" t="s">
        <v>220</v>
      </c>
      <c r="N19" s="75" t="s">
        <v>9</v>
      </c>
      <c r="O19" s="75" t="s">
        <v>14</v>
      </c>
    </row>
    <row r="20" spans="10:15" x14ac:dyDescent="0.25">
      <c r="J20" s="75"/>
      <c r="K20" s="75"/>
      <c r="L20" s="75"/>
      <c r="M20" s="75"/>
      <c r="N20" s="75" t="s">
        <v>11</v>
      </c>
      <c r="O20" s="75" t="s">
        <v>221</v>
      </c>
    </row>
    <row r="21" spans="10:15" x14ac:dyDescent="0.25">
      <c r="J21" s="75"/>
      <c r="K21" s="75"/>
      <c r="L21" s="75"/>
      <c r="M21" s="75"/>
      <c r="N21" s="75" t="s">
        <v>17</v>
      </c>
      <c r="O21" s="75">
        <v>0.5</v>
      </c>
    </row>
    <row r="22" spans="10:15" x14ac:dyDescent="0.25">
      <c r="J22" s="75"/>
      <c r="K22" s="75"/>
      <c r="L22" s="75"/>
      <c r="M22" s="75"/>
      <c r="N22" s="75"/>
      <c r="O22" s="75"/>
    </row>
  </sheetData>
  <autoFilter ref="A1:O1" xr:uid="{00000000-0009-0000-0000-000001000000}">
    <sortState ref="A2:O4">
      <sortCondition descending="1" ref="I1"/>
    </sortState>
  </autoFilter>
  <mergeCells count="4">
    <mergeCell ref="J7:O7"/>
    <mergeCell ref="J8:K8"/>
    <mergeCell ref="L8:M8"/>
    <mergeCell ref="N8:O8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29"/>
  <sheetViews>
    <sheetView zoomScale="80" zoomScaleNormal="80" workbookViewId="0">
      <selection activeCell="B4" sqref="B4"/>
    </sheetView>
  </sheetViews>
  <sheetFormatPr defaultColWidth="9.140625" defaultRowHeight="15" x14ac:dyDescent="0.25"/>
  <cols>
    <col min="1" max="1" width="16.7109375" style="15" customWidth="1"/>
    <col min="2" max="2" width="24.42578125" style="29" customWidth="1"/>
    <col min="3" max="3" width="19.28515625" style="29" customWidth="1"/>
    <col min="4" max="4" width="15.5703125" style="29" customWidth="1"/>
    <col min="5" max="5" width="18" style="29" customWidth="1"/>
    <col min="6" max="6" width="15.42578125" style="15" customWidth="1"/>
    <col min="7" max="7" width="10.5703125" style="15" customWidth="1"/>
    <col min="8" max="8" width="9.140625" style="15"/>
    <col min="9" max="9" width="9.140625" style="59"/>
    <col min="10" max="10" width="23.85546875" style="15" customWidth="1"/>
    <col min="11" max="13" width="9.140625" style="15"/>
    <col min="14" max="14" width="11.42578125" style="15" customWidth="1"/>
    <col min="15" max="16384" width="9.140625" style="15"/>
  </cols>
  <sheetData>
    <row r="1" spans="1:15" ht="44.45" customHeight="1" x14ac:dyDescent="0.25">
      <c r="A1" s="124" t="s">
        <v>27</v>
      </c>
      <c r="B1" s="124" t="s">
        <v>0</v>
      </c>
      <c r="C1" s="124" t="s">
        <v>64</v>
      </c>
      <c r="D1" s="124" t="s">
        <v>1</v>
      </c>
      <c r="E1" s="124" t="s">
        <v>2</v>
      </c>
      <c r="F1" s="61" t="s">
        <v>6</v>
      </c>
      <c r="G1" s="81" t="s">
        <v>5</v>
      </c>
      <c r="H1" s="81" t="s">
        <v>3</v>
      </c>
      <c r="I1" s="86" t="s">
        <v>66</v>
      </c>
    </row>
    <row r="2" spans="1:15" s="63" customFormat="1" ht="78.599999999999994" customHeight="1" x14ac:dyDescent="0.25">
      <c r="A2" s="81"/>
      <c r="B2" s="49" t="s">
        <v>211</v>
      </c>
      <c r="C2" s="140">
        <v>32979</v>
      </c>
      <c r="D2" s="137" t="s">
        <v>40</v>
      </c>
      <c r="E2" s="137" t="s">
        <v>78</v>
      </c>
      <c r="F2" s="81">
        <f>2+2+1</f>
        <v>5</v>
      </c>
      <c r="G2" s="81">
        <f>2+2+2</f>
        <v>6</v>
      </c>
      <c r="H2" s="81">
        <f>5+5+4</f>
        <v>14</v>
      </c>
      <c r="I2" s="81">
        <f t="shared" ref="I2:I11" si="0">F2+G2+H2</f>
        <v>25</v>
      </c>
    </row>
    <row r="3" spans="1:15" s="59" customFormat="1" ht="81" customHeight="1" x14ac:dyDescent="0.25">
      <c r="A3" s="81"/>
      <c r="B3" s="49" t="s">
        <v>272</v>
      </c>
      <c r="C3" s="140">
        <v>34443</v>
      </c>
      <c r="D3" s="137" t="s">
        <v>197</v>
      </c>
      <c r="E3" s="137" t="s">
        <v>86</v>
      </c>
      <c r="F3" s="81">
        <f>2+2+1</f>
        <v>5</v>
      </c>
      <c r="G3" s="81">
        <f>1+1+1</f>
        <v>3</v>
      </c>
      <c r="H3" s="81">
        <f>5+5+5</f>
        <v>15</v>
      </c>
      <c r="I3" s="81">
        <f t="shared" si="0"/>
        <v>23</v>
      </c>
    </row>
    <row r="4" spans="1:15" s="59" customFormat="1" ht="81" customHeight="1" x14ac:dyDescent="0.25">
      <c r="A4" s="81"/>
      <c r="B4" s="49" t="s">
        <v>205</v>
      </c>
      <c r="C4" s="140">
        <v>33742</v>
      </c>
      <c r="D4" s="49" t="s">
        <v>36</v>
      </c>
      <c r="E4" s="49" t="s">
        <v>39</v>
      </c>
      <c r="F4" s="81">
        <f>2+1</f>
        <v>3</v>
      </c>
      <c r="G4" s="81">
        <f>1+2</f>
        <v>3</v>
      </c>
      <c r="H4" s="81">
        <f>4+5</f>
        <v>9</v>
      </c>
      <c r="I4" s="81">
        <f t="shared" si="0"/>
        <v>15</v>
      </c>
      <c r="J4" s="60"/>
    </row>
    <row r="5" spans="1:15" ht="81" customHeight="1" x14ac:dyDescent="0.25">
      <c r="A5" s="75"/>
      <c r="B5" s="94" t="s">
        <v>297</v>
      </c>
      <c r="C5" s="88">
        <v>32640</v>
      </c>
      <c r="D5" s="89" t="s">
        <v>55</v>
      </c>
      <c r="E5" s="89" t="s">
        <v>51</v>
      </c>
      <c r="F5" s="90">
        <f>2+1</f>
        <v>3</v>
      </c>
      <c r="G5" s="90">
        <f>1+1</f>
        <v>2</v>
      </c>
      <c r="H5" s="90">
        <f>4+3</f>
        <v>7</v>
      </c>
      <c r="I5" s="81">
        <f t="shared" si="0"/>
        <v>12</v>
      </c>
    </row>
    <row r="6" spans="1:15" ht="81" customHeight="1" x14ac:dyDescent="0.25">
      <c r="A6" s="75"/>
      <c r="B6" s="94" t="s">
        <v>156</v>
      </c>
      <c r="C6" s="97">
        <v>32684</v>
      </c>
      <c r="D6" s="89" t="s">
        <v>36</v>
      </c>
      <c r="E6" s="89" t="s">
        <v>71</v>
      </c>
      <c r="F6" s="90">
        <f>1+1</f>
        <v>2</v>
      </c>
      <c r="G6" s="90">
        <f>0.5+0.5</f>
        <v>1</v>
      </c>
      <c r="H6" s="90">
        <f>2.5+2.5</f>
        <v>5</v>
      </c>
      <c r="I6" s="81">
        <f t="shared" si="0"/>
        <v>8</v>
      </c>
      <c r="J6" s="8"/>
      <c r="K6" s="8"/>
    </row>
    <row r="7" spans="1:15" s="51" customFormat="1" ht="81" customHeight="1" x14ac:dyDescent="0.25">
      <c r="A7" s="75"/>
      <c r="B7" s="87" t="s">
        <v>319</v>
      </c>
      <c r="C7" s="88">
        <v>34232</v>
      </c>
      <c r="D7" s="95" t="s">
        <v>37</v>
      </c>
      <c r="E7" s="95" t="s">
        <v>38</v>
      </c>
      <c r="F7" s="90">
        <f>1</f>
        <v>1</v>
      </c>
      <c r="G7" s="90">
        <f>2</f>
        <v>2</v>
      </c>
      <c r="H7" s="90">
        <f>3</f>
        <v>3</v>
      </c>
      <c r="I7" s="81">
        <f t="shared" si="0"/>
        <v>6</v>
      </c>
      <c r="J7" s="8"/>
    </row>
    <row r="8" spans="1:15" s="51" customFormat="1" ht="81" customHeight="1" x14ac:dyDescent="0.25">
      <c r="A8" s="75"/>
      <c r="B8" s="94" t="s">
        <v>294</v>
      </c>
      <c r="C8" s="88">
        <v>32196</v>
      </c>
      <c r="D8" s="89" t="s">
        <v>36</v>
      </c>
      <c r="E8" s="89" t="s">
        <v>71</v>
      </c>
      <c r="F8" s="90">
        <f>1</f>
        <v>1</v>
      </c>
      <c r="G8" s="90">
        <f>0.5</f>
        <v>0.5</v>
      </c>
      <c r="H8" s="90">
        <f>2.5</f>
        <v>2.5</v>
      </c>
      <c r="I8" s="81">
        <f t="shared" si="0"/>
        <v>4</v>
      </c>
      <c r="J8" s="8"/>
      <c r="K8" s="8"/>
    </row>
    <row r="9" spans="1:15" s="51" customFormat="1" ht="81" customHeight="1" x14ac:dyDescent="0.25">
      <c r="A9" s="86"/>
      <c r="B9" s="94" t="s">
        <v>77</v>
      </c>
      <c r="C9" s="88">
        <v>33675</v>
      </c>
      <c r="D9" s="94" t="s">
        <v>55</v>
      </c>
      <c r="E9" s="94" t="s">
        <v>51</v>
      </c>
      <c r="F9" s="93">
        <f>1</f>
        <v>1</v>
      </c>
      <c r="G9" s="93">
        <f>0.5</f>
        <v>0.5</v>
      </c>
      <c r="H9" s="93">
        <f>2.5</f>
        <v>2.5</v>
      </c>
      <c r="I9" s="81">
        <f t="shared" si="0"/>
        <v>4</v>
      </c>
      <c r="J9" s="8"/>
      <c r="K9" s="8"/>
    </row>
    <row r="10" spans="1:15" s="51" customFormat="1" ht="81" customHeight="1" x14ac:dyDescent="0.25">
      <c r="A10" s="75"/>
      <c r="B10" s="94" t="s">
        <v>103</v>
      </c>
      <c r="C10" s="97">
        <v>33780</v>
      </c>
      <c r="D10" s="89" t="s">
        <v>36</v>
      </c>
      <c r="E10" s="89" t="s">
        <v>71</v>
      </c>
      <c r="F10" s="90"/>
      <c r="G10" s="90"/>
      <c r="H10" s="90"/>
      <c r="I10" s="81">
        <f t="shared" si="0"/>
        <v>0</v>
      </c>
      <c r="J10" s="8"/>
    </row>
    <row r="11" spans="1:15" s="51" customFormat="1" ht="81" customHeight="1" x14ac:dyDescent="0.25">
      <c r="A11" s="75"/>
      <c r="B11" s="87" t="s">
        <v>54</v>
      </c>
      <c r="C11" s="88">
        <v>31078</v>
      </c>
      <c r="D11" s="89" t="s">
        <v>55</v>
      </c>
      <c r="E11" s="89" t="s">
        <v>51</v>
      </c>
      <c r="F11" s="90"/>
      <c r="G11" s="90"/>
      <c r="H11" s="90"/>
      <c r="I11" s="81">
        <f t="shared" si="0"/>
        <v>0</v>
      </c>
      <c r="J11" s="8"/>
    </row>
    <row r="12" spans="1:15" s="51" customFormat="1" ht="81" customHeight="1" x14ac:dyDescent="0.25">
      <c r="A12" s="8"/>
      <c r="B12" s="73"/>
      <c r="C12" s="70"/>
      <c r="D12" s="44"/>
      <c r="E12" s="44"/>
      <c r="F12" s="43"/>
      <c r="G12" s="43"/>
      <c r="H12" s="43"/>
      <c r="I12" s="60"/>
      <c r="J12" s="8"/>
    </row>
    <row r="13" spans="1:15" x14ac:dyDescent="0.25">
      <c r="I13" s="60"/>
    </row>
    <row r="14" spans="1:15" x14ac:dyDescent="0.25">
      <c r="I14" s="60"/>
    </row>
    <row r="15" spans="1:15" x14ac:dyDescent="0.25">
      <c r="J15" s="154" t="s">
        <v>4</v>
      </c>
      <c r="K15" s="154"/>
      <c r="L15" s="154"/>
      <c r="M15" s="154"/>
      <c r="N15" s="154"/>
      <c r="O15" s="154"/>
    </row>
    <row r="16" spans="1:15" x14ac:dyDescent="0.25">
      <c r="J16" s="155" t="s">
        <v>6</v>
      </c>
      <c r="K16" s="155"/>
      <c r="L16" s="155" t="s">
        <v>5</v>
      </c>
      <c r="M16" s="155"/>
      <c r="N16" s="155" t="s">
        <v>3</v>
      </c>
      <c r="O16" s="155"/>
    </row>
    <row r="17" spans="10:15" x14ac:dyDescent="0.25">
      <c r="J17" s="2" t="s">
        <v>22</v>
      </c>
      <c r="K17" s="5" t="s">
        <v>8</v>
      </c>
      <c r="L17" s="2" t="s">
        <v>18</v>
      </c>
      <c r="M17" s="5" t="s">
        <v>8</v>
      </c>
      <c r="N17" s="2" t="s">
        <v>7</v>
      </c>
      <c r="O17" s="5" t="s">
        <v>8</v>
      </c>
    </row>
    <row r="18" spans="10:15" ht="39.6" customHeight="1" x14ac:dyDescent="0.25">
      <c r="J18" s="3" t="s">
        <v>23</v>
      </c>
      <c r="K18" s="5" t="s">
        <v>10</v>
      </c>
      <c r="L18" s="2" t="s">
        <v>19</v>
      </c>
      <c r="M18" s="5" t="s">
        <v>12</v>
      </c>
      <c r="N18" s="2" t="s">
        <v>9</v>
      </c>
      <c r="O18" s="5" t="s">
        <v>10</v>
      </c>
    </row>
    <row r="19" spans="10:15" x14ac:dyDescent="0.25">
      <c r="J19" s="2" t="s">
        <v>24</v>
      </c>
      <c r="K19" s="5" t="s">
        <v>12</v>
      </c>
      <c r="L19" s="2" t="s">
        <v>20</v>
      </c>
      <c r="M19" s="5" t="s">
        <v>14</v>
      </c>
      <c r="N19" s="2" t="s">
        <v>11</v>
      </c>
      <c r="O19" s="5" t="s">
        <v>12</v>
      </c>
    </row>
    <row r="20" spans="10:15" x14ac:dyDescent="0.25">
      <c r="J20" s="2" t="s">
        <v>25</v>
      </c>
      <c r="K20" s="5" t="s">
        <v>14</v>
      </c>
      <c r="L20" s="2" t="s">
        <v>21</v>
      </c>
      <c r="M20" s="5" t="s">
        <v>16</v>
      </c>
      <c r="N20" s="2"/>
      <c r="O20" s="5"/>
    </row>
    <row r="21" spans="10:15" x14ac:dyDescent="0.25">
      <c r="J21" s="2" t="s">
        <v>26</v>
      </c>
      <c r="K21" s="5" t="s">
        <v>16</v>
      </c>
      <c r="L21" s="4"/>
      <c r="M21" s="6"/>
      <c r="N21" s="2"/>
      <c r="O21" s="5"/>
    </row>
    <row r="22" spans="10:15" x14ac:dyDescent="0.25">
      <c r="J22" s="2"/>
      <c r="K22" s="5"/>
      <c r="L22" s="4"/>
      <c r="M22" s="6"/>
      <c r="N22" s="2" t="s">
        <v>17</v>
      </c>
      <c r="O22" s="7">
        <v>0.5</v>
      </c>
    </row>
    <row r="23" spans="10:15" x14ac:dyDescent="0.25">
      <c r="J23" s="1"/>
      <c r="K23" s="1"/>
    </row>
    <row r="24" spans="10:15" x14ac:dyDescent="0.25">
      <c r="J24" s="75" t="s">
        <v>6</v>
      </c>
      <c r="K24" s="75" t="s">
        <v>5</v>
      </c>
      <c r="L24" s="75" t="s">
        <v>3</v>
      </c>
      <c r="M24" s="75"/>
      <c r="N24" s="75"/>
      <c r="O24" s="75"/>
    </row>
    <row r="25" spans="10:15" x14ac:dyDescent="0.25">
      <c r="J25" s="75" t="s">
        <v>282</v>
      </c>
      <c r="K25" s="75" t="s">
        <v>16</v>
      </c>
      <c r="L25" s="75" t="s">
        <v>217</v>
      </c>
      <c r="M25" s="75" t="s">
        <v>14</v>
      </c>
      <c r="N25" s="75" t="s">
        <v>7</v>
      </c>
      <c r="O25" s="75" t="s">
        <v>218</v>
      </c>
    </row>
    <row r="26" spans="10:15" x14ac:dyDescent="0.25">
      <c r="J26" s="75"/>
      <c r="K26" s="75"/>
      <c r="L26" s="75" t="s">
        <v>219</v>
      </c>
      <c r="M26" s="75" t="s">
        <v>220</v>
      </c>
      <c r="N26" s="75" t="s">
        <v>9</v>
      </c>
      <c r="O26" s="75" t="s">
        <v>14</v>
      </c>
    </row>
    <row r="27" spans="10:15" x14ac:dyDescent="0.25">
      <c r="J27" s="75"/>
      <c r="K27" s="75"/>
      <c r="L27" s="75"/>
      <c r="M27" s="75"/>
      <c r="N27" s="75" t="s">
        <v>11</v>
      </c>
      <c r="O27" s="75" t="s">
        <v>221</v>
      </c>
    </row>
    <row r="28" spans="10:15" x14ac:dyDescent="0.25">
      <c r="J28" s="75"/>
      <c r="K28" s="75"/>
      <c r="L28" s="75"/>
      <c r="M28" s="75"/>
      <c r="N28" s="75" t="s">
        <v>17</v>
      </c>
      <c r="O28" s="75">
        <v>0.5</v>
      </c>
    </row>
    <row r="29" spans="10:15" x14ac:dyDescent="0.25">
      <c r="J29" s="75"/>
      <c r="K29" s="75"/>
      <c r="L29" s="75"/>
      <c r="M29" s="75"/>
      <c r="N29" s="75"/>
      <c r="O29" s="75"/>
    </row>
  </sheetData>
  <autoFilter ref="A1:O1" xr:uid="{00000000-0009-0000-0000-000002000000}">
    <sortState ref="A2:O11">
      <sortCondition descending="1" ref="I1"/>
    </sortState>
  </autoFilter>
  <sortState ref="A2:O11">
    <sortCondition descending="1" ref="I2:I11"/>
  </sortState>
  <mergeCells count="4">
    <mergeCell ref="J15:O15"/>
    <mergeCell ref="J16:K16"/>
    <mergeCell ref="L16:M16"/>
    <mergeCell ref="N16:O16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38"/>
  <sheetViews>
    <sheetView zoomScale="80" zoomScaleNormal="80" workbookViewId="0">
      <selection activeCell="B5" sqref="B5"/>
    </sheetView>
  </sheetViews>
  <sheetFormatPr defaultRowHeight="15" x14ac:dyDescent="0.25"/>
  <cols>
    <col min="1" max="1" width="18.5703125" customWidth="1"/>
    <col min="2" max="2" width="24.42578125" style="29" customWidth="1"/>
    <col min="3" max="3" width="17.28515625" style="29" customWidth="1"/>
    <col min="4" max="4" width="15.5703125" style="29" customWidth="1"/>
    <col min="5" max="5" width="18" style="29" customWidth="1"/>
    <col min="6" max="6" width="14.42578125" customWidth="1"/>
    <col min="7" max="7" width="10.5703125" customWidth="1"/>
    <col min="10" max="10" width="23.85546875" customWidth="1"/>
    <col min="14" max="14" width="11.42578125" customWidth="1"/>
  </cols>
  <sheetData>
    <row r="1" spans="1:15" ht="44.45" customHeight="1" x14ac:dyDescent="0.25">
      <c r="A1" s="48" t="s">
        <v>27</v>
      </c>
      <c r="B1" s="34" t="s">
        <v>0</v>
      </c>
      <c r="C1" s="34" t="s">
        <v>64</v>
      </c>
      <c r="D1" s="56" t="s">
        <v>1</v>
      </c>
      <c r="E1" s="34" t="s">
        <v>2</v>
      </c>
      <c r="F1" s="61" t="s">
        <v>6</v>
      </c>
      <c r="G1" s="17" t="s">
        <v>5</v>
      </c>
      <c r="H1" s="17" t="s">
        <v>3</v>
      </c>
      <c r="I1" s="16" t="s">
        <v>66</v>
      </c>
    </row>
    <row r="2" spans="1:15" s="63" customFormat="1" ht="78.599999999999994" customHeight="1" x14ac:dyDescent="0.25">
      <c r="A2" s="54"/>
      <c r="B2" s="141" t="s">
        <v>75</v>
      </c>
      <c r="C2" s="142">
        <v>38018</v>
      </c>
      <c r="D2" s="143" t="s">
        <v>31</v>
      </c>
      <c r="E2" s="141" t="s">
        <v>51</v>
      </c>
      <c r="F2" s="144">
        <f>2+2+2+1</f>
        <v>7</v>
      </c>
      <c r="G2" s="144">
        <f>5+5+5+5</f>
        <v>20</v>
      </c>
      <c r="H2" s="144">
        <f>4+5+4+5+0.5</f>
        <v>18.5</v>
      </c>
      <c r="I2" s="86">
        <f t="shared" ref="I2:I20" si="0">F2+G2+H2</f>
        <v>45.5</v>
      </c>
    </row>
    <row r="3" spans="1:15" s="59" customFormat="1" ht="78.599999999999994" customHeight="1" x14ac:dyDescent="0.25">
      <c r="A3" s="75"/>
      <c r="B3" s="49" t="s">
        <v>276</v>
      </c>
      <c r="C3" s="140">
        <v>37139</v>
      </c>
      <c r="D3" s="49" t="s">
        <v>36</v>
      </c>
      <c r="E3" s="49" t="s">
        <v>39</v>
      </c>
      <c r="F3" s="81">
        <f>2+1+5</f>
        <v>8</v>
      </c>
      <c r="G3" s="81">
        <f>5+5+5</f>
        <v>15</v>
      </c>
      <c r="H3" s="81">
        <f>5+5+3</f>
        <v>13</v>
      </c>
      <c r="I3" s="86">
        <f t="shared" si="0"/>
        <v>36</v>
      </c>
    </row>
    <row r="4" spans="1:15" s="59" customFormat="1" ht="78.599999999999994" customHeight="1" x14ac:dyDescent="0.25">
      <c r="A4" s="81"/>
      <c r="B4" s="49" t="s">
        <v>126</v>
      </c>
      <c r="C4" s="140">
        <v>36036</v>
      </c>
      <c r="D4" s="137" t="s">
        <v>36</v>
      </c>
      <c r="E4" s="137" t="s">
        <v>71</v>
      </c>
      <c r="F4" s="81">
        <f>2+2+1+1</f>
        <v>6</v>
      </c>
      <c r="G4" s="81">
        <f>2+2+2+1</f>
        <v>7</v>
      </c>
      <c r="H4" s="81">
        <f>5+5+4+4</f>
        <v>18</v>
      </c>
      <c r="I4" s="86">
        <f t="shared" si="0"/>
        <v>31</v>
      </c>
    </row>
    <row r="5" spans="1:15" s="59" customFormat="1" ht="78.599999999999994" customHeight="1" x14ac:dyDescent="0.25">
      <c r="A5" s="81"/>
      <c r="B5" s="49" t="s">
        <v>125</v>
      </c>
      <c r="C5" s="140">
        <v>35983</v>
      </c>
      <c r="D5" s="137" t="s">
        <v>36</v>
      </c>
      <c r="E5" s="137" t="s">
        <v>71</v>
      </c>
      <c r="F5" s="81">
        <f>2+2+1+1</f>
        <v>6</v>
      </c>
      <c r="G5" s="81">
        <f>2+2+2+1</f>
        <v>7</v>
      </c>
      <c r="H5" s="81">
        <f>4+5+5+4</f>
        <v>18</v>
      </c>
      <c r="I5" s="86">
        <f t="shared" si="0"/>
        <v>31</v>
      </c>
    </row>
    <row r="6" spans="1:15" s="11" customFormat="1" ht="78.599999999999994" customHeight="1" x14ac:dyDescent="0.25">
      <c r="A6" s="86"/>
      <c r="B6" s="38" t="s">
        <v>74</v>
      </c>
      <c r="C6" s="88">
        <v>38090</v>
      </c>
      <c r="D6" s="94" t="s">
        <v>31</v>
      </c>
      <c r="E6" s="94" t="s">
        <v>32</v>
      </c>
      <c r="F6" s="93">
        <f>2+1</f>
        <v>3</v>
      </c>
      <c r="G6" s="93">
        <f>5+5</f>
        <v>10</v>
      </c>
      <c r="H6" s="93">
        <f>5+5</f>
        <v>10</v>
      </c>
      <c r="I6" s="16">
        <f t="shared" si="0"/>
        <v>23</v>
      </c>
      <c r="J6" s="8"/>
      <c r="K6" s="51"/>
      <c r="L6" s="51"/>
      <c r="M6" s="51"/>
      <c r="N6" s="51"/>
      <c r="O6" s="51"/>
    </row>
    <row r="7" spans="1:15" s="15" customFormat="1" ht="78.599999999999994" customHeight="1" x14ac:dyDescent="0.25">
      <c r="A7" s="81"/>
      <c r="B7" s="38" t="s">
        <v>34</v>
      </c>
      <c r="C7" s="88">
        <v>34627</v>
      </c>
      <c r="D7" s="89" t="s">
        <v>197</v>
      </c>
      <c r="E7" s="89" t="s">
        <v>317</v>
      </c>
      <c r="F7" s="90">
        <f>1+1+4</f>
        <v>6</v>
      </c>
      <c r="G7" s="90">
        <f>2+2+3</f>
        <v>7</v>
      </c>
      <c r="H7" s="90">
        <f>2.5+2.5+3</f>
        <v>8</v>
      </c>
      <c r="I7" s="16">
        <f t="shared" si="0"/>
        <v>21</v>
      </c>
      <c r="J7" s="51"/>
      <c r="K7" s="51"/>
      <c r="L7" s="51"/>
      <c r="M7" s="51"/>
      <c r="N7" s="51"/>
      <c r="O7" s="51"/>
    </row>
    <row r="8" spans="1:15" s="55" customFormat="1" ht="78.599999999999994" customHeight="1" x14ac:dyDescent="0.25">
      <c r="A8" s="75"/>
      <c r="B8" s="38" t="s">
        <v>301</v>
      </c>
      <c r="C8" s="88">
        <v>35942</v>
      </c>
      <c r="D8" s="94" t="s">
        <v>40</v>
      </c>
      <c r="E8" s="94" t="s">
        <v>283</v>
      </c>
      <c r="F8" s="90">
        <f>2+1</f>
        <v>3</v>
      </c>
      <c r="G8" s="90">
        <f>1+1</f>
        <v>2</v>
      </c>
      <c r="H8" s="90">
        <f>5+5</f>
        <v>10</v>
      </c>
      <c r="I8" s="16">
        <f t="shared" si="0"/>
        <v>15</v>
      </c>
      <c r="J8" s="8"/>
      <c r="K8" s="8"/>
      <c r="L8" s="51"/>
      <c r="M8" s="51"/>
      <c r="N8" s="51"/>
      <c r="O8" s="51"/>
    </row>
    <row r="9" spans="1:15" s="15" customFormat="1" ht="78.599999999999994" customHeight="1" x14ac:dyDescent="0.25">
      <c r="A9" s="75"/>
      <c r="B9" s="94" t="s">
        <v>299</v>
      </c>
      <c r="C9" s="88">
        <v>34884</v>
      </c>
      <c r="D9" s="94" t="s">
        <v>40</v>
      </c>
      <c r="E9" s="94" t="s">
        <v>283</v>
      </c>
      <c r="F9" s="90">
        <f>2+1</f>
        <v>3</v>
      </c>
      <c r="G9" s="90">
        <f>1+1</f>
        <v>2</v>
      </c>
      <c r="H9" s="90">
        <f>5+5</f>
        <v>10</v>
      </c>
      <c r="I9" s="16">
        <f t="shared" si="0"/>
        <v>15</v>
      </c>
      <c r="J9" s="9"/>
      <c r="K9" s="9"/>
      <c r="L9" s="52"/>
      <c r="M9" s="52"/>
      <c r="N9" s="52"/>
      <c r="O9" s="52"/>
    </row>
    <row r="10" spans="1:15" s="15" customFormat="1" ht="78.599999999999994" customHeight="1" x14ac:dyDescent="0.25">
      <c r="A10" s="75"/>
      <c r="B10" s="94" t="s">
        <v>104</v>
      </c>
      <c r="C10" s="97">
        <v>35487</v>
      </c>
      <c r="D10" s="89" t="s">
        <v>36</v>
      </c>
      <c r="E10" s="89" t="s">
        <v>71</v>
      </c>
      <c r="F10" s="90">
        <f>1+1+1</f>
        <v>3</v>
      </c>
      <c r="G10" s="90">
        <f>0.5+0.5+0.5</f>
        <v>1.5</v>
      </c>
      <c r="H10" s="90">
        <f>2.5+2.5+2.5</f>
        <v>7.5</v>
      </c>
      <c r="I10" s="86">
        <f t="shared" si="0"/>
        <v>12</v>
      </c>
      <c r="J10" s="8"/>
      <c r="K10" s="51"/>
      <c r="L10" s="51"/>
      <c r="M10" s="51"/>
      <c r="N10" s="51"/>
      <c r="O10" s="51"/>
    </row>
    <row r="11" spans="1:15" s="15" customFormat="1" ht="81" customHeight="1" x14ac:dyDescent="0.25">
      <c r="A11" s="75"/>
      <c r="B11" s="94" t="s">
        <v>298</v>
      </c>
      <c r="C11" s="88">
        <v>35076</v>
      </c>
      <c r="D11" s="89" t="s">
        <v>55</v>
      </c>
      <c r="E11" s="89" t="s">
        <v>51</v>
      </c>
      <c r="F11" s="90">
        <f>2+1</f>
        <v>3</v>
      </c>
      <c r="G11" s="90">
        <f>1+1</f>
        <v>2</v>
      </c>
      <c r="H11" s="90">
        <f>4+3</f>
        <v>7</v>
      </c>
      <c r="I11" s="86">
        <f t="shared" si="0"/>
        <v>12</v>
      </c>
      <c r="J11" s="8"/>
      <c r="K11" s="51"/>
      <c r="L11" s="51"/>
      <c r="M11" s="51"/>
      <c r="N11" s="51"/>
      <c r="O11" s="51"/>
    </row>
    <row r="12" spans="1:15" s="15" customFormat="1" ht="81" customHeight="1" x14ac:dyDescent="0.25">
      <c r="A12" s="75"/>
      <c r="B12" s="94" t="s">
        <v>155</v>
      </c>
      <c r="C12" s="97">
        <v>37462</v>
      </c>
      <c r="D12" s="89" t="s">
        <v>168</v>
      </c>
      <c r="E12" s="89" t="s">
        <v>113</v>
      </c>
      <c r="F12" s="90">
        <f>2+0.5+0.5</f>
        <v>3</v>
      </c>
      <c r="G12" s="90">
        <f>2+0.5+0.5</f>
        <v>3</v>
      </c>
      <c r="H12" s="90">
        <f>4+1+1</f>
        <v>6</v>
      </c>
      <c r="I12" s="86">
        <f t="shared" si="0"/>
        <v>12</v>
      </c>
      <c r="J12" s="55"/>
      <c r="K12" s="55"/>
      <c r="L12" s="55"/>
      <c r="M12" s="55"/>
      <c r="N12" s="55"/>
      <c r="O12" s="55"/>
    </row>
    <row r="13" spans="1:15" s="15" customFormat="1" ht="81" customHeight="1" x14ac:dyDescent="0.25">
      <c r="A13" s="75"/>
      <c r="B13" s="94" t="s">
        <v>270</v>
      </c>
      <c r="C13" s="97">
        <v>35652</v>
      </c>
      <c r="D13" s="96" t="s">
        <v>98</v>
      </c>
      <c r="E13" s="89" t="s">
        <v>271</v>
      </c>
      <c r="F13" s="90">
        <f>2</f>
        <v>2</v>
      </c>
      <c r="G13" s="90">
        <f>2</f>
        <v>2</v>
      </c>
      <c r="H13" s="90">
        <f>5</f>
        <v>5</v>
      </c>
      <c r="I13" s="86">
        <f t="shared" si="0"/>
        <v>9</v>
      </c>
      <c r="J13" s="51"/>
      <c r="K13" s="51"/>
      <c r="L13" s="51"/>
      <c r="M13" s="51"/>
      <c r="N13" s="51"/>
      <c r="O13" s="51"/>
    </row>
    <row r="14" spans="1:15" s="15" customFormat="1" ht="81" customHeight="1" x14ac:dyDescent="0.25">
      <c r="A14" s="75"/>
      <c r="B14" s="38" t="s">
        <v>293</v>
      </c>
      <c r="C14" s="88">
        <v>36967</v>
      </c>
      <c r="D14" s="94" t="s">
        <v>40</v>
      </c>
      <c r="E14" s="94" t="s">
        <v>283</v>
      </c>
      <c r="F14" s="90">
        <f>2</f>
        <v>2</v>
      </c>
      <c r="G14" s="90">
        <f>1</f>
        <v>1</v>
      </c>
      <c r="H14" s="90">
        <f>5</f>
        <v>5</v>
      </c>
      <c r="I14" s="16">
        <f t="shared" si="0"/>
        <v>8</v>
      </c>
      <c r="J14" s="8"/>
      <c r="K14" s="51"/>
      <c r="L14" s="51"/>
      <c r="M14" s="51"/>
      <c r="N14" s="51"/>
      <c r="O14" s="51"/>
    </row>
    <row r="15" spans="1:15" s="51" customFormat="1" ht="81" customHeight="1" x14ac:dyDescent="0.25">
      <c r="A15" s="75"/>
      <c r="B15" s="94" t="s">
        <v>318</v>
      </c>
      <c r="C15" s="88">
        <v>38470</v>
      </c>
      <c r="D15" s="94" t="s">
        <v>40</v>
      </c>
      <c r="E15" s="94" t="s">
        <v>283</v>
      </c>
      <c r="F15" s="90">
        <f>1</f>
        <v>1</v>
      </c>
      <c r="G15" s="90">
        <f>1</f>
        <v>1</v>
      </c>
      <c r="H15" s="90">
        <f>5</f>
        <v>5</v>
      </c>
      <c r="I15" s="16">
        <f t="shared" si="0"/>
        <v>7</v>
      </c>
    </row>
    <row r="16" spans="1:15" s="52" customFormat="1" ht="78.599999999999994" customHeight="1" x14ac:dyDescent="0.25">
      <c r="A16" s="76"/>
      <c r="B16" s="94" t="s">
        <v>177</v>
      </c>
      <c r="C16" s="97">
        <v>35007</v>
      </c>
      <c r="D16" s="89" t="s">
        <v>31</v>
      </c>
      <c r="E16" s="89" t="s">
        <v>178</v>
      </c>
      <c r="F16" s="90">
        <f>1</f>
        <v>1</v>
      </c>
      <c r="G16" s="90">
        <f>2</f>
        <v>2</v>
      </c>
      <c r="H16" s="134">
        <f>3</f>
        <v>3</v>
      </c>
      <c r="I16" s="16">
        <f t="shared" si="0"/>
        <v>6</v>
      </c>
      <c r="J16" s="51"/>
      <c r="K16" s="51"/>
      <c r="L16" s="51"/>
      <c r="M16" s="51"/>
      <c r="N16" s="51"/>
      <c r="O16" s="51"/>
    </row>
    <row r="17" spans="1:15" s="15" customFormat="1" ht="81" customHeight="1" x14ac:dyDescent="0.25">
      <c r="A17" s="75"/>
      <c r="B17" s="38" t="s">
        <v>53</v>
      </c>
      <c r="C17" s="88">
        <v>34227</v>
      </c>
      <c r="D17" s="94" t="s">
        <v>36</v>
      </c>
      <c r="E17" s="94" t="s">
        <v>39</v>
      </c>
      <c r="F17" s="37">
        <f>1</f>
        <v>1</v>
      </c>
      <c r="G17" s="37">
        <f>2</f>
        <v>2</v>
      </c>
      <c r="H17" s="90">
        <f>2.5</f>
        <v>2.5</v>
      </c>
      <c r="I17" s="16">
        <f t="shared" si="0"/>
        <v>5.5</v>
      </c>
      <c r="J17" s="51"/>
      <c r="K17" s="51"/>
      <c r="L17" s="51"/>
      <c r="M17" s="51"/>
      <c r="N17" s="51"/>
      <c r="O17" s="51"/>
    </row>
    <row r="18" spans="1:15" s="51" customFormat="1" ht="81" customHeight="1" x14ac:dyDescent="0.25">
      <c r="A18" s="75"/>
      <c r="B18" s="78" t="s">
        <v>179</v>
      </c>
      <c r="C18" s="79">
        <v>37593</v>
      </c>
      <c r="D18" s="78" t="s">
        <v>36</v>
      </c>
      <c r="E18" s="82" t="s">
        <v>39</v>
      </c>
      <c r="F18" s="83"/>
      <c r="G18" s="75"/>
      <c r="H18" s="83"/>
      <c r="I18" s="16">
        <f t="shared" si="0"/>
        <v>0</v>
      </c>
    </row>
    <row r="19" spans="1:15" s="51" customFormat="1" ht="81" customHeight="1" x14ac:dyDescent="0.25">
      <c r="A19" s="75"/>
      <c r="B19" s="94" t="s">
        <v>33</v>
      </c>
      <c r="C19" s="97">
        <v>37801</v>
      </c>
      <c r="D19" s="89" t="s">
        <v>197</v>
      </c>
      <c r="E19" s="89" t="s">
        <v>28</v>
      </c>
      <c r="F19" s="93"/>
      <c r="G19" s="93"/>
      <c r="H19" s="93"/>
      <c r="I19" s="86">
        <f t="shared" si="0"/>
        <v>0</v>
      </c>
    </row>
    <row r="20" spans="1:15" s="51" customFormat="1" ht="81" customHeight="1" x14ac:dyDescent="0.25">
      <c r="A20" s="75"/>
      <c r="B20" s="94" t="s">
        <v>147</v>
      </c>
      <c r="C20" s="88">
        <v>38215</v>
      </c>
      <c r="D20" s="89" t="s">
        <v>132</v>
      </c>
      <c r="E20" s="89" t="s">
        <v>247</v>
      </c>
      <c r="F20" s="90"/>
      <c r="G20" s="90"/>
      <c r="H20" s="90"/>
      <c r="I20" s="86">
        <f t="shared" si="0"/>
        <v>0</v>
      </c>
    </row>
    <row r="24" spans="1:15" s="51" customFormat="1" x14ac:dyDescent="0.25">
      <c r="B24" s="29"/>
      <c r="C24" s="29"/>
      <c r="D24" s="29"/>
      <c r="E24" s="29"/>
      <c r="J24" s="156" t="s">
        <v>4</v>
      </c>
      <c r="K24" s="157"/>
      <c r="L24" s="157"/>
      <c r="M24" s="157"/>
      <c r="N24" s="157"/>
      <c r="O24" s="158"/>
    </row>
    <row r="25" spans="1:15" s="51" customFormat="1" x14ac:dyDescent="0.25">
      <c r="B25" s="29"/>
      <c r="C25" s="29"/>
      <c r="D25" s="29"/>
      <c r="E25" s="29"/>
      <c r="J25" s="159" t="s">
        <v>6</v>
      </c>
      <c r="K25" s="160"/>
      <c r="L25" s="159" t="s">
        <v>5</v>
      </c>
      <c r="M25" s="160"/>
      <c r="N25" s="159" t="s">
        <v>3</v>
      </c>
      <c r="O25" s="160"/>
    </row>
    <row r="26" spans="1:15" s="51" customFormat="1" x14ac:dyDescent="0.25">
      <c r="B26" s="29"/>
      <c r="C26" s="29"/>
      <c r="D26" s="29"/>
      <c r="E26" s="29"/>
      <c r="J26" s="2" t="s">
        <v>22</v>
      </c>
      <c r="K26" s="5" t="s">
        <v>8</v>
      </c>
      <c r="L26" s="2" t="s">
        <v>18</v>
      </c>
      <c r="M26" s="5" t="s">
        <v>8</v>
      </c>
      <c r="N26" s="2" t="s">
        <v>7</v>
      </c>
      <c r="O26" s="5" t="s">
        <v>8</v>
      </c>
    </row>
    <row r="27" spans="1:15" s="51" customFormat="1" ht="39.6" customHeight="1" x14ac:dyDescent="0.25">
      <c r="B27" s="29"/>
      <c r="C27" s="29"/>
      <c r="D27" s="29"/>
      <c r="E27" s="29"/>
      <c r="J27" s="3" t="s">
        <v>23</v>
      </c>
      <c r="K27" s="5" t="s">
        <v>10</v>
      </c>
      <c r="L27" s="2" t="s">
        <v>19</v>
      </c>
      <c r="M27" s="5" t="s">
        <v>12</v>
      </c>
      <c r="N27" s="2" t="s">
        <v>9</v>
      </c>
      <c r="O27" s="5" t="s">
        <v>10</v>
      </c>
    </row>
    <row r="28" spans="1:15" s="51" customFormat="1" x14ac:dyDescent="0.25">
      <c r="B28" s="29"/>
      <c r="C28" s="29"/>
      <c r="D28" s="29"/>
      <c r="E28" s="29"/>
      <c r="J28" s="2" t="s">
        <v>24</v>
      </c>
      <c r="K28" s="5" t="s">
        <v>12</v>
      </c>
      <c r="L28" s="2" t="s">
        <v>20</v>
      </c>
      <c r="M28" s="5" t="s">
        <v>14</v>
      </c>
      <c r="N28" s="2" t="s">
        <v>11</v>
      </c>
      <c r="O28" s="5" t="s">
        <v>12</v>
      </c>
    </row>
    <row r="29" spans="1:15" s="51" customFormat="1" x14ac:dyDescent="0.25">
      <c r="B29" s="29"/>
      <c r="C29" s="29"/>
      <c r="D29" s="29"/>
      <c r="E29" s="29"/>
      <c r="J29" s="2" t="s">
        <v>25</v>
      </c>
      <c r="K29" s="5" t="s">
        <v>14</v>
      </c>
      <c r="L29" s="2" t="s">
        <v>21</v>
      </c>
      <c r="M29" s="5" t="s">
        <v>16</v>
      </c>
      <c r="N29" s="2"/>
      <c r="O29" s="5"/>
    </row>
    <row r="30" spans="1:15" s="51" customFormat="1" x14ac:dyDescent="0.25">
      <c r="B30" s="29"/>
      <c r="C30" s="29"/>
      <c r="D30" s="29"/>
      <c r="E30" s="29"/>
      <c r="J30" s="2" t="s">
        <v>26</v>
      </c>
      <c r="K30" s="5" t="s">
        <v>16</v>
      </c>
      <c r="L30" s="4"/>
      <c r="M30" s="6"/>
      <c r="N30" s="2"/>
      <c r="O30" s="5"/>
    </row>
    <row r="31" spans="1:15" s="51" customFormat="1" x14ac:dyDescent="0.25">
      <c r="B31" s="29"/>
      <c r="C31" s="29"/>
      <c r="D31" s="29"/>
      <c r="E31" s="29"/>
      <c r="J31" s="2"/>
      <c r="K31" s="5"/>
      <c r="L31" s="4"/>
      <c r="M31" s="6"/>
      <c r="N31" s="2" t="s">
        <v>17</v>
      </c>
      <c r="O31" s="7">
        <v>0.5</v>
      </c>
    </row>
    <row r="32" spans="1:15" s="51" customFormat="1" x14ac:dyDescent="0.25">
      <c r="B32" s="29"/>
      <c r="C32" s="29"/>
      <c r="D32" s="29"/>
      <c r="E32" s="29"/>
      <c r="J32" s="1"/>
      <c r="K32" s="1"/>
    </row>
    <row r="33" spans="10:15" x14ac:dyDescent="0.25">
      <c r="J33" s="75" t="s">
        <v>6</v>
      </c>
      <c r="K33" s="75" t="s">
        <v>5</v>
      </c>
      <c r="L33" s="75" t="s">
        <v>3</v>
      </c>
      <c r="M33" s="75"/>
      <c r="N33" s="75"/>
      <c r="O33" s="75"/>
    </row>
    <row r="34" spans="10:15" x14ac:dyDescent="0.25">
      <c r="J34" s="75" t="s">
        <v>282</v>
      </c>
      <c r="K34" s="75" t="s">
        <v>16</v>
      </c>
      <c r="L34" s="75" t="s">
        <v>217</v>
      </c>
      <c r="M34" s="75" t="s">
        <v>14</v>
      </c>
      <c r="N34" s="75" t="s">
        <v>7</v>
      </c>
      <c r="O34" s="75" t="s">
        <v>218</v>
      </c>
    </row>
    <row r="35" spans="10:15" x14ac:dyDescent="0.25">
      <c r="J35" s="75"/>
      <c r="K35" s="75"/>
      <c r="L35" s="75" t="s">
        <v>219</v>
      </c>
      <c r="M35" s="75" t="s">
        <v>220</v>
      </c>
      <c r="N35" s="75" t="s">
        <v>9</v>
      </c>
      <c r="O35" s="75" t="s">
        <v>14</v>
      </c>
    </row>
    <row r="36" spans="10:15" x14ac:dyDescent="0.25">
      <c r="J36" s="75"/>
      <c r="K36" s="75"/>
      <c r="L36" s="75"/>
      <c r="M36" s="75"/>
      <c r="N36" s="75" t="s">
        <v>11</v>
      </c>
      <c r="O36" s="75" t="s">
        <v>221</v>
      </c>
    </row>
    <row r="37" spans="10:15" x14ac:dyDescent="0.25">
      <c r="J37" s="75"/>
      <c r="K37" s="75"/>
      <c r="L37" s="75"/>
      <c r="M37" s="75"/>
      <c r="N37" s="75" t="s">
        <v>17</v>
      </c>
      <c r="O37" s="75">
        <v>0.5</v>
      </c>
    </row>
    <row r="38" spans="10:15" x14ac:dyDescent="0.25">
      <c r="J38" s="75"/>
      <c r="K38" s="75"/>
      <c r="L38" s="75"/>
      <c r="M38" s="75"/>
      <c r="N38" s="75"/>
      <c r="O38" s="75"/>
    </row>
  </sheetData>
  <autoFilter ref="A1:O1" xr:uid="{00000000-0009-0000-0000-000003000000}">
    <sortState ref="A2:O20">
      <sortCondition descending="1" ref="I1"/>
    </sortState>
  </autoFilter>
  <sortState ref="A2:O21">
    <sortCondition descending="1" ref="I2:I21"/>
  </sortState>
  <mergeCells count="4">
    <mergeCell ref="J24:O24"/>
    <mergeCell ref="J25:K25"/>
    <mergeCell ref="L25:M25"/>
    <mergeCell ref="N25:O25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23"/>
  <sheetViews>
    <sheetView zoomScale="80" zoomScaleNormal="80" workbookViewId="0">
      <selection activeCell="B4" sqref="B4"/>
    </sheetView>
  </sheetViews>
  <sheetFormatPr defaultColWidth="8.85546875" defaultRowHeight="15" x14ac:dyDescent="0.25"/>
  <cols>
    <col min="1" max="1" width="20.85546875" style="15" customWidth="1"/>
    <col min="2" max="2" width="27.140625" style="15" customWidth="1"/>
    <col min="3" max="3" width="16.140625" style="15" customWidth="1"/>
    <col min="4" max="4" width="12.42578125" style="15" customWidth="1"/>
    <col min="5" max="5" width="9.5703125" style="15" customWidth="1"/>
    <col min="6" max="6" width="16.85546875" style="15" customWidth="1"/>
    <col min="7" max="7" width="10.5703125" style="15" customWidth="1"/>
    <col min="8" max="9" width="8.85546875" style="15"/>
    <col min="10" max="10" width="23.85546875" style="15" customWidth="1"/>
    <col min="11" max="13" width="8.85546875" style="15"/>
    <col min="14" max="14" width="11.42578125" style="15" customWidth="1"/>
    <col min="15" max="16384" width="8.85546875" style="15"/>
  </cols>
  <sheetData>
    <row r="1" spans="1:15" ht="44.45" customHeight="1" x14ac:dyDescent="0.25">
      <c r="A1" s="48" t="s">
        <v>27</v>
      </c>
      <c r="B1" s="48" t="s">
        <v>0</v>
      </c>
      <c r="C1" s="48" t="s">
        <v>65</v>
      </c>
      <c r="D1" s="48" t="s">
        <v>1</v>
      </c>
      <c r="E1" s="48" t="s">
        <v>2</v>
      </c>
      <c r="F1" s="61" t="s">
        <v>6</v>
      </c>
      <c r="G1" s="48" t="s">
        <v>5</v>
      </c>
      <c r="H1" s="48" t="s">
        <v>3</v>
      </c>
      <c r="I1" s="49" t="s">
        <v>66</v>
      </c>
    </row>
    <row r="2" spans="1:15" s="59" customFormat="1" ht="79.900000000000006" customHeight="1" x14ac:dyDescent="0.25">
      <c r="A2" s="17"/>
      <c r="B2" s="137" t="s">
        <v>170</v>
      </c>
      <c r="C2" s="140">
        <v>37888</v>
      </c>
      <c r="D2" s="137" t="s">
        <v>197</v>
      </c>
      <c r="E2" s="145" t="s">
        <v>28</v>
      </c>
      <c r="F2" s="81">
        <f>2+2+2+1+1+1</f>
        <v>9</v>
      </c>
      <c r="G2" s="81">
        <f>5+5+5+2+2+5</f>
        <v>24</v>
      </c>
      <c r="H2" s="81">
        <f>4+4+5+2.5+2.5+5+0.5</f>
        <v>23.5</v>
      </c>
      <c r="I2" s="81">
        <f>F2+G2+H2</f>
        <v>56.5</v>
      </c>
    </row>
    <row r="3" spans="1:15" ht="79.900000000000006" customHeight="1" x14ac:dyDescent="0.25">
      <c r="A3" s="4"/>
      <c r="B3" s="137" t="s">
        <v>277</v>
      </c>
      <c r="C3" s="139">
        <v>31049</v>
      </c>
      <c r="D3" s="81" t="s">
        <v>36</v>
      </c>
      <c r="E3" s="119" t="s">
        <v>71</v>
      </c>
      <c r="F3" s="81">
        <f>2+1</f>
        <v>3</v>
      </c>
      <c r="G3" s="81">
        <f>5+5</f>
        <v>10</v>
      </c>
      <c r="H3" s="81">
        <f>5+5+0.5</f>
        <v>10.5</v>
      </c>
      <c r="I3" s="81">
        <f>F3+G3+H3</f>
        <v>23.5</v>
      </c>
      <c r="J3" s="8"/>
    </row>
    <row r="4" spans="1:15" s="51" customFormat="1" ht="79.900000000000006" customHeight="1" x14ac:dyDescent="0.25">
      <c r="A4" s="4"/>
      <c r="B4" s="137" t="s">
        <v>278</v>
      </c>
      <c r="C4" s="139">
        <v>32688</v>
      </c>
      <c r="D4" s="81" t="s">
        <v>36</v>
      </c>
      <c r="E4" s="119" t="s">
        <v>39</v>
      </c>
      <c r="F4" s="81">
        <f>2</f>
        <v>2</v>
      </c>
      <c r="G4" s="81">
        <f>5</f>
        <v>5</v>
      </c>
      <c r="H4" s="81">
        <f>5+0.5</f>
        <v>5.5</v>
      </c>
      <c r="I4" s="81">
        <f>F4+G4+H4</f>
        <v>12.5</v>
      </c>
      <c r="J4" s="8"/>
    </row>
    <row r="5" spans="1:15" s="51" customFormat="1" ht="79.900000000000006" customHeight="1" x14ac:dyDescent="0.25">
      <c r="A5" s="8"/>
      <c r="B5" s="30"/>
      <c r="C5" s="74"/>
      <c r="D5" s="8"/>
      <c r="E5" s="18"/>
      <c r="F5" s="8"/>
      <c r="G5" s="8"/>
      <c r="H5" s="8"/>
      <c r="I5" s="60"/>
      <c r="J5" s="50"/>
    </row>
    <row r="6" spans="1:15" ht="34.5" customHeight="1" x14ac:dyDescent="0.25">
      <c r="A6" s="8"/>
      <c r="B6" s="8"/>
      <c r="C6" s="8"/>
      <c r="D6" s="8"/>
      <c r="E6" s="18"/>
      <c r="F6" s="8"/>
      <c r="G6" s="8"/>
      <c r="H6" s="8"/>
      <c r="I6" s="8"/>
      <c r="J6" s="161" t="s">
        <v>4</v>
      </c>
      <c r="K6" s="154"/>
      <c r="L6" s="154"/>
      <c r="M6" s="154"/>
      <c r="N6" s="154"/>
      <c r="O6" s="154"/>
    </row>
    <row r="7" spans="1:15" ht="25.5" customHeight="1" x14ac:dyDescent="0.25">
      <c r="A7" s="8"/>
      <c r="B7" s="8"/>
      <c r="C7" s="8"/>
      <c r="D7" s="8"/>
      <c r="E7" s="18"/>
      <c r="F7" s="8"/>
      <c r="G7" s="8"/>
      <c r="H7" s="8"/>
      <c r="I7" s="8"/>
      <c r="J7" s="155" t="s">
        <v>6</v>
      </c>
      <c r="K7" s="155"/>
      <c r="L7" s="155" t="s">
        <v>5</v>
      </c>
      <c r="M7" s="155"/>
      <c r="N7" s="155" t="s">
        <v>3</v>
      </c>
      <c r="O7" s="155"/>
    </row>
    <row r="8" spans="1:15" ht="44.1" customHeight="1" x14ac:dyDescent="0.25">
      <c r="A8" s="8"/>
      <c r="B8" s="8"/>
      <c r="C8" s="8"/>
      <c r="D8" s="8"/>
      <c r="E8" s="18"/>
      <c r="F8" s="8"/>
      <c r="G8" s="8"/>
      <c r="H8" s="8"/>
      <c r="I8" s="8"/>
      <c r="J8" s="2" t="s">
        <v>22</v>
      </c>
      <c r="K8" s="5" t="s">
        <v>8</v>
      </c>
      <c r="L8" s="2" t="s">
        <v>18</v>
      </c>
      <c r="M8" s="5" t="s">
        <v>8</v>
      </c>
      <c r="N8" s="2" t="s">
        <v>7</v>
      </c>
      <c r="O8" s="5" t="s">
        <v>8</v>
      </c>
    </row>
    <row r="9" spans="1:15" ht="54.95" customHeight="1" x14ac:dyDescent="0.25">
      <c r="A9" s="8"/>
      <c r="B9" s="8"/>
      <c r="C9" s="8"/>
      <c r="D9" s="8"/>
      <c r="E9" s="18"/>
      <c r="F9" s="8"/>
      <c r="G9" s="8"/>
      <c r="H9" s="8"/>
      <c r="I9" s="8"/>
      <c r="J9" s="3" t="s">
        <v>23</v>
      </c>
      <c r="K9" s="5" t="s">
        <v>10</v>
      </c>
      <c r="L9" s="2" t="s">
        <v>19</v>
      </c>
      <c r="M9" s="5" t="s">
        <v>12</v>
      </c>
      <c r="N9" s="2" t="s">
        <v>9</v>
      </c>
      <c r="O9" s="5" t="s">
        <v>10</v>
      </c>
    </row>
    <row r="10" spans="1:15" ht="45.95" customHeight="1" x14ac:dyDescent="0.25">
      <c r="A10" s="8"/>
      <c r="B10" s="8"/>
      <c r="C10" s="9"/>
      <c r="D10" s="8"/>
      <c r="E10" s="8"/>
      <c r="F10" s="8"/>
      <c r="G10" s="8"/>
      <c r="H10" s="8"/>
      <c r="I10" s="8"/>
      <c r="J10" s="2" t="s">
        <v>24</v>
      </c>
      <c r="K10" s="5" t="s">
        <v>12</v>
      </c>
      <c r="L10" s="2" t="s">
        <v>20</v>
      </c>
      <c r="M10" s="5" t="s">
        <v>14</v>
      </c>
      <c r="N10" s="2" t="s">
        <v>11</v>
      </c>
      <c r="O10" s="5" t="s">
        <v>12</v>
      </c>
    </row>
    <row r="11" spans="1:15" ht="37.5" customHeight="1" x14ac:dyDescent="0.25">
      <c r="A11" s="8"/>
      <c r="B11" s="8"/>
      <c r="C11" s="9"/>
      <c r="D11" s="8"/>
      <c r="E11" s="8"/>
      <c r="F11" s="8"/>
      <c r="G11" s="8"/>
      <c r="H11" s="8"/>
      <c r="I11" s="8"/>
      <c r="J11" s="2" t="s">
        <v>25</v>
      </c>
      <c r="K11" s="5" t="s">
        <v>14</v>
      </c>
      <c r="L11" s="2" t="s">
        <v>21</v>
      </c>
      <c r="M11" s="5" t="s">
        <v>16</v>
      </c>
      <c r="N11" s="2" t="s">
        <v>13</v>
      </c>
      <c r="O11" s="5" t="s">
        <v>14</v>
      </c>
    </row>
    <row r="12" spans="1:15" ht="33.950000000000003" customHeight="1" x14ac:dyDescent="0.25">
      <c r="A12" s="8"/>
      <c r="B12" s="8"/>
      <c r="C12" s="9"/>
      <c r="D12" s="8"/>
      <c r="E12" s="8"/>
      <c r="F12" s="8"/>
      <c r="G12" s="8"/>
      <c r="H12" s="8"/>
      <c r="I12" s="8"/>
      <c r="J12" s="2" t="s">
        <v>26</v>
      </c>
      <c r="K12" s="5" t="s">
        <v>16</v>
      </c>
      <c r="L12" s="4"/>
      <c r="M12" s="6"/>
      <c r="N12" s="2" t="s">
        <v>15</v>
      </c>
      <c r="O12" s="5" t="s">
        <v>16</v>
      </c>
    </row>
    <row r="13" spans="1:15" x14ac:dyDescent="0.25">
      <c r="J13" s="2"/>
      <c r="K13" s="5"/>
      <c r="L13" s="4"/>
      <c r="M13" s="6"/>
      <c r="N13" s="2" t="s">
        <v>17</v>
      </c>
      <c r="O13" s="7">
        <v>0.5</v>
      </c>
    </row>
    <row r="16" spans="1:15" x14ac:dyDescent="0.25">
      <c r="J16" s="75" t="s">
        <v>6</v>
      </c>
      <c r="K16" s="75" t="s">
        <v>5</v>
      </c>
      <c r="L16" s="75" t="s">
        <v>3</v>
      </c>
      <c r="M16" s="75"/>
      <c r="N16" s="75"/>
      <c r="O16" s="75"/>
    </row>
    <row r="17" spans="10:15" x14ac:dyDescent="0.25">
      <c r="J17" s="75" t="s">
        <v>282</v>
      </c>
      <c r="K17" s="75" t="s">
        <v>16</v>
      </c>
      <c r="L17" s="75" t="s">
        <v>217</v>
      </c>
      <c r="M17" s="75" t="s">
        <v>14</v>
      </c>
      <c r="N17" s="75" t="s">
        <v>7</v>
      </c>
      <c r="O17" s="75" t="s">
        <v>218</v>
      </c>
    </row>
    <row r="18" spans="10:15" ht="39.6" customHeight="1" x14ac:dyDescent="0.25">
      <c r="J18" s="75"/>
      <c r="K18" s="75"/>
      <c r="L18" s="75" t="s">
        <v>219</v>
      </c>
      <c r="M18" s="75" t="s">
        <v>220</v>
      </c>
      <c r="N18" s="75" t="s">
        <v>9</v>
      </c>
      <c r="O18" s="75" t="s">
        <v>14</v>
      </c>
    </row>
    <row r="19" spans="10:15" x14ac:dyDescent="0.25">
      <c r="J19" s="75"/>
      <c r="K19" s="75"/>
      <c r="L19" s="75"/>
      <c r="M19" s="75"/>
      <c r="N19" s="75" t="s">
        <v>11</v>
      </c>
      <c r="O19" s="75" t="s">
        <v>221</v>
      </c>
    </row>
    <row r="20" spans="10:15" x14ac:dyDescent="0.25">
      <c r="J20" s="75"/>
      <c r="K20" s="75"/>
      <c r="L20" s="75"/>
      <c r="M20" s="75"/>
      <c r="N20" s="75" t="s">
        <v>17</v>
      </c>
      <c r="O20" s="75">
        <v>0.5</v>
      </c>
    </row>
    <row r="21" spans="10:15" x14ac:dyDescent="0.25">
      <c r="J21" s="75"/>
      <c r="K21" s="75"/>
      <c r="L21" s="75"/>
      <c r="M21" s="75"/>
      <c r="N21" s="75"/>
      <c r="O21" s="75"/>
    </row>
    <row r="23" spans="10:15" x14ac:dyDescent="0.25">
      <c r="J23" s="1"/>
      <c r="K23" s="1"/>
    </row>
  </sheetData>
  <autoFilter ref="A1:O1" xr:uid="{00000000-0009-0000-0000-000004000000}">
    <sortState ref="A2:O4">
      <sortCondition descending="1" ref="I1"/>
    </sortState>
  </autoFilter>
  <sortState ref="A2:I23">
    <sortCondition descending="1" ref="I1"/>
  </sortState>
  <mergeCells count="4">
    <mergeCell ref="J6:O6"/>
    <mergeCell ref="J7:K7"/>
    <mergeCell ref="L7:M7"/>
    <mergeCell ref="N7:O7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60"/>
  <sheetViews>
    <sheetView tabSelected="1" zoomScale="80" zoomScaleNormal="80" workbookViewId="0">
      <selection activeCell="C4" sqref="C4"/>
    </sheetView>
  </sheetViews>
  <sheetFormatPr defaultRowHeight="15" x14ac:dyDescent="0.25"/>
  <cols>
    <col min="1" max="1" width="17.42578125" customWidth="1"/>
    <col min="2" max="2" width="27.140625" style="29" customWidth="1"/>
    <col min="3" max="3" width="17.140625" style="29" customWidth="1"/>
    <col min="4" max="4" width="16.140625" style="62" customWidth="1"/>
    <col min="5" max="5" width="19.28515625" style="29" customWidth="1"/>
    <col min="6" max="6" width="15.140625" customWidth="1"/>
    <col min="7" max="7" width="10.5703125" customWidth="1"/>
    <col min="10" max="10" width="23.85546875" customWidth="1"/>
    <col min="14" max="14" width="11.42578125" customWidth="1"/>
  </cols>
  <sheetData>
    <row r="1" spans="1:15" ht="44.45" customHeight="1" x14ac:dyDescent="0.25">
      <c r="A1" s="48" t="s">
        <v>27</v>
      </c>
      <c r="B1" s="34" t="s">
        <v>0</v>
      </c>
      <c r="C1" s="27" t="s">
        <v>65</v>
      </c>
      <c r="D1" s="61" t="s">
        <v>1</v>
      </c>
      <c r="E1" s="32" t="s">
        <v>2</v>
      </c>
      <c r="F1" s="61" t="s">
        <v>6</v>
      </c>
      <c r="G1" s="17" t="s">
        <v>5</v>
      </c>
      <c r="H1" s="17" t="s">
        <v>3</v>
      </c>
      <c r="I1" s="16" t="s">
        <v>66</v>
      </c>
    </row>
    <row r="2" spans="1:15" s="59" customFormat="1" ht="81" customHeight="1" x14ac:dyDescent="0.3">
      <c r="A2" s="22"/>
      <c r="B2" s="49" t="s">
        <v>43</v>
      </c>
      <c r="C2" s="140">
        <v>39086</v>
      </c>
      <c r="D2" s="138" t="s">
        <v>36</v>
      </c>
      <c r="E2" s="49" t="s">
        <v>39</v>
      </c>
      <c r="F2" s="81">
        <f>2+2+1+1+5+5</f>
        <v>16</v>
      </c>
      <c r="G2" s="81">
        <f>5+5+5+5+5+5</f>
        <v>30</v>
      </c>
      <c r="H2" s="81">
        <f>4+5+5+5+4+4</f>
        <v>27</v>
      </c>
      <c r="I2" s="81">
        <f t="shared" ref="I2:I40" si="0">F2+G2+H2</f>
        <v>73</v>
      </c>
      <c r="J2" s="51"/>
      <c r="K2" s="51"/>
      <c r="L2" s="51"/>
      <c r="M2" s="51"/>
      <c r="N2" s="51"/>
      <c r="O2" s="51"/>
    </row>
    <row r="3" spans="1:15" s="59" customFormat="1" ht="80.099999999999994" customHeight="1" x14ac:dyDescent="0.3">
      <c r="A3" s="22"/>
      <c r="B3" s="49" t="s">
        <v>42</v>
      </c>
      <c r="C3" s="140">
        <v>39347</v>
      </c>
      <c r="D3" s="138" t="s">
        <v>36</v>
      </c>
      <c r="E3" s="49" t="s">
        <v>334</v>
      </c>
      <c r="F3" s="86">
        <f>2+2+1+1+5</f>
        <v>11</v>
      </c>
      <c r="G3" s="86">
        <f>5+5+5+5+5</f>
        <v>25</v>
      </c>
      <c r="H3" s="86">
        <f>5+5+5+5+4+0.5</f>
        <v>24.5</v>
      </c>
      <c r="I3" s="81">
        <f t="shared" si="0"/>
        <v>60.5</v>
      </c>
      <c r="J3" s="51"/>
      <c r="K3" s="51"/>
      <c r="L3" s="51"/>
      <c r="M3" s="51"/>
      <c r="N3" s="51"/>
      <c r="O3" s="51"/>
    </row>
    <row r="4" spans="1:15" s="59" customFormat="1" ht="81" customHeight="1" x14ac:dyDescent="0.25">
      <c r="A4" s="85"/>
      <c r="B4" s="146" t="s">
        <v>61</v>
      </c>
      <c r="C4" s="147">
        <v>39675</v>
      </c>
      <c r="D4" s="148" t="s">
        <v>37</v>
      </c>
      <c r="E4" s="148" t="s">
        <v>38</v>
      </c>
      <c r="F4" s="149">
        <f>2+2+2+2+1+1</f>
        <v>10</v>
      </c>
      <c r="G4" s="149">
        <f>2+1+2+2+3+2</f>
        <v>12</v>
      </c>
      <c r="H4" s="149">
        <f>5+5+4+5+5+3</f>
        <v>27</v>
      </c>
      <c r="I4" s="113">
        <f t="shared" si="0"/>
        <v>49</v>
      </c>
      <c r="J4" s="51"/>
      <c r="K4" s="51"/>
      <c r="L4" s="51"/>
      <c r="M4" s="51"/>
      <c r="N4" s="51"/>
      <c r="O4" s="51"/>
    </row>
    <row r="5" spans="1:15" s="12" customFormat="1" ht="80.099999999999994" customHeight="1" x14ac:dyDescent="0.3">
      <c r="A5" s="22"/>
      <c r="B5" s="94" t="s">
        <v>30</v>
      </c>
      <c r="C5" s="88">
        <v>39730</v>
      </c>
      <c r="D5" s="96" t="s">
        <v>197</v>
      </c>
      <c r="E5" s="89" t="s">
        <v>317</v>
      </c>
      <c r="F5" s="90">
        <f>2+2+2+5</f>
        <v>11</v>
      </c>
      <c r="G5" s="90">
        <f>5+5+5+5</f>
        <v>20</v>
      </c>
      <c r="H5" s="90">
        <f>3+4+4+5</f>
        <v>16</v>
      </c>
      <c r="I5" s="81">
        <f t="shared" si="0"/>
        <v>47</v>
      </c>
      <c r="J5" s="59"/>
      <c r="K5" s="59"/>
      <c r="L5" s="59"/>
      <c r="M5" s="59"/>
      <c r="N5" s="59"/>
      <c r="O5" s="59"/>
    </row>
    <row r="6" spans="1:15" ht="80.099999999999994" customHeight="1" x14ac:dyDescent="0.25">
      <c r="A6" s="21"/>
      <c r="B6" s="94" t="s">
        <v>121</v>
      </c>
      <c r="C6" s="88">
        <v>39525</v>
      </c>
      <c r="D6" s="96" t="s">
        <v>197</v>
      </c>
      <c r="E6" s="89" t="s">
        <v>62</v>
      </c>
      <c r="F6" s="93">
        <f>2+2+2+2+1+1</f>
        <v>10</v>
      </c>
      <c r="G6" s="90">
        <f>1+1+1+1+1+1</f>
        <v>6</v>
      </c>
      <c r="H6" s="93">
        <f>4+3+5+4+4+4</f>
        <v>24</v>
      </c>
      <c r="I6" s="81">
        <f t="shared" si="0"/>
        <v>40</v>
      </c>
      <c r="J6" s="59"/>
      <c r="K6" s="59"/>
      <c r="L6" s="59"/>
      <c r="M6" s="59"/>
      <c r="N6" s="59"/>
      <c r="O6" s="59"/>
    </row>
    <row r="7" spans="1:15" s="15" customFormat="1" ht="80.099999999999994" customHeight="1" x14ac:dyDescent="0.25">
      <c r="A7" s="21"/>
      <c r="B7" s="94" t="s">
        <v>95</v>
      </c>
      <c r="C7" s="88">
        <v>39510</v>
      </c>
      <c r="D7" s="96" t="s">
        <v>36</v>
      </c>
      <c r="E7" s="89" t="s">
        <v>83</v>
      </c>
      <c r="F7" s="93">
        <f>1+2+2+1+1</f>
        <v>7</v>
      </c>
      <c r="G7" s="90">
        <f>2+3+3+3+2</f>
        <v>13</v>
      </c>
      <c r="H7" s="93">
        <f>1.5+5+5+3+5</f>
        <v>19.5</v>
      </c>
      <c r="I7" s="81">
        <f t="shared" si="0"/>
        <v>39.5</v>
      </c>
    </row>
    <row r="8" spans="1:15" s="15" customFormat="1" ht="80.099999999999994" customHeight="1" x14ac:dyDescent="0.25">
      <c r="A8" s="85"/>
      <c r="B8" s="101" t="s">
        <v>274</v>
      </c>
      <c r="C8" s="103">
        <v>39519</v>
      </c>
      <c r="D8" s="96" t="s">
        <v>31</v>
      </c>
      <c r="E8" s="95" t="s">
        <v>51</v>
      </c>
      <c r="F8" s="110">
        <f>2+2+2+1</f>
        <v>7</v>
      </c>
      <c r="G8" s="110">
        <f>2+2+2+2</f>
        <v>8</v>
      </c>
      <c r="H8" s="110">
        <f>4+5+0.5+4+0.5+4</f>
        <v>18</v>
      </c>
      <c r="I8" s="113">
        <f t="shared" si="0"/>
        <v>33</v>
      </c>
      <c r="J8" s="51"/>
      <c r="K8" s="51"/>
      <c r="L8" s="51"/>
      <c r="M8" s="51"/>
      <c r="N8" s="51"/>
      <c r="O8" s="51"/>
    </row>
    <row r="9" spans="1:15" s="15" customFormat="1" ht="80.099999999999994" customHeight="1" x14ac:dyDescent="0.25">
      <c r="A9" s="66"/>
      <c r="B9" s="106" t="s">
        <v>144</v>
      </c>
      <c r="C9" s="97">
        <v>39701</v>
      </c>
      <c r="D9" s="89" t="s">
        <v>132</v>
      </c>
      <c r="E9" s="89" t="s">
        <v>247</v>
      </c>
      <c r="F9" s="111">
        <f>1+2+2+2</f>
        <v>7</v>
      </c>
      <c r="G9" s="112">
        <f>2+3+3+3</f>
        <v>11</v>
      </c>
      <c r="H9" s="111">
        <f>2.5+3+3+5+0.5+0.5</f>
        <v>14.5</v>
      </c>
      <c r="I9" s="113">
        <f t="shared" si="0"/>
        <v>32.5</v>
      </c>
    </row>
    <row r="10" spans="1:15" s="15" customFormat="1" ht="80.099999999999994" customHeight="1" x14ac:dyDescent="0.3">
      <c r="A10" s="23"/>
      <c r="B10" s="89" t="s">
        <v>72</v>
      </c>
      <c r="C10" s="97">
        <v>39560</v>
      </c>
      <c r="D10" s="96" t="s">
        <v>36</v>
      </c>
      <c r="E10" s="89" t="s">
        <v>39</v>
      </c>
      <c r="F10" s="90">
        <f>2+1+1</f>
        <v>4</v>
      </c>
      <c r="G10" s="90">
        <f>5+2+5</f>
        <v>12</v>
      </c>
      <c r="H10" s="90">
        <f>0.5+5+2.5+5+0.5</f>
        <v>13.5</v>
      </c>
      <c r="I10" s="81">
        <f t="shared" si="0"/>
        <v>29.5</v>
      </c>
    </row>
    <row r="11" spans="1:15" s="15" customFormat="1" ht="80.099999999999994" customHeight="1" x14ac:dyDescent="0.25">
      <c r="A11" s="85"/>
      <c r="B11" s="101" t="s">
        <v>122</v>
      </c>
      <c r="C11" s="103">
        <v>39786</v>
      </c>
      <c r="D11" s="101" t="s">
        <v>197</v>
      </c>
      <c r="E11" s="95" t="s">
        <v>86</v>
      </c>
      <c r="F11" s="110">
        <f>2+2+1+1</f>
        <v>6</v>
      </c>
      <c r="G11" s="110">
        <f>1+1+2+1</f>
        <v>5</v>
      </c>
      <c r="H11" s="110">
        <f>0.5+0.5+4+3+3+4</f>
        <v>15</v>
      </c>
      <c r="I11" s="113">
        <f t="shared" si="0"/>
        <v>26</v>
      </c>
    </row>
    <row r="12" spans="1:15" s="15" customFormat="1" ht="80.099999999999994" customHeight="1" x14ac:dyDescent="0.3">
      <c r="A12" s="23"/>
      <c r="B12" s="94" t="s">
        <v>46</v>
      </c>
      <c r="C12" s="88">
        <v>39336</v>
      </c>
      <c r="D12" s="96" t="s">
        <v>45</v>
      </c>
      <c r="E12" s="94" t="s">
        <v>175</v>
      </c>
      <c r="F12" s="90">
        <f>1+2+1+1</f>
        <v>5</v>
      </c>
      <c r="G12" s="37">
        <f>1.5+3+2+2</f>
        <v>8.5</v>
      </c>
      <c r="H12" s="90">
        <f>2+0.5+4+2+0.5+2</f>
        <v>11</v>
      </c>
      <c r="I12" s="17">
        <f t="shared" si="0"/>
        <v>24.5</v>
      </c>
    </row>
    <row r="13" spans="1:15" s="15" customFormat="1" ht="80.099999999999994" customHeight="1" x14ac:dyDescent="0.25">
      <c r="A13" s="81"/>
      <c r="B13" s="94" t="s">
        <v>47</v>
      </c>
      <c r="C13" s="88">
        <v>38965</v>
      </c>
      <c r="D13" s="96" t="s">
        <v>31</v>
      </c>
      <c r="E13" s="94" t="s">
        <v>32</v>
      </c>
      <c r="F13" s="90">
        <f>2+1</f>
        <v>3</v>
      </c>
      <c r="G13" s="90">
        <f>5+5</f>
        <v>10</v>
      </c>
      <c r="H13" s="90">
        <f>0.5+5+5</f>
        <v>10.5</v>
      </c>
      <c r="I13" s="81">
        <f t="shared" si="0"/>
        <v>23.5</v>
      </c>
    </row>
    <row r="14" spans="1:15" s="15" customFormat="1" ht="80.099999999999994" customHeight="1" x14ac:dyDescent="0.3">
      <c r="A14" s="23"/>
      <c r="B14" s="94" t="s">
        <v>69</v>
      </c>
      <c r="C14" s="97">
        <v>39346</v>
      </c>
      <c r="D14" s="96" t="s">
        <v>45</v>
      </c>
      <c r="E14" s="94" t="s">
        <v>175</v>
      </c>
      <c r="F14" s="90">
        <f>2+2</f>
        <v>4</v>
      </c>
      <c r="G14" s="90">
        <f>3+3</f>
        <v>6</v>
      </c>
      <c r="H14" s="90">
        <f>4+3+0.5</f>
        <v>7.5</v>
      </c>
      <c r="I14" s="81">
        <f t="shared" si="0"/>
        <v>17.5</v>
      </c>
    </row>
    <row r="15" spans="1:15" s="15" customFormat="1" ht="80.099999999999994" customHeight="1" x14ac:dyDescent="0.25">
      <c r="A15" s="90"/>
      <c r="B15" s="94" t="s">
        <v>210</v>
      </c>
      <c r="C15" s="97">
        <v>39540</v>
      </c>
      <c r="D15" s="96" t="s">
        <v>40</v>
      </c>
      <c r="E15" s="89" t="s">
        <v>175</v>
      </c>
      <c r="F15" s="90">
        <f>2+2</f>
        <v>4</v>
      </c>
      <c r="G15" s="90">
        <f>1+2</f>
        <v>3</v>
      </c>
      <c r="H15" s="37">
        <f>5+5</f>
        <v>10</v>
      </c>
      <c r="I15" s="17">
        <f t="shared" si="0"/>
        <v>17</v>
      </c>
    </row>
    <row r="16" spans="1:15" s="59" customFormat="1" ht="80.099999999999994" customHeight="1" x14ac:dyDescent="0.25">
      <c r="A16" s="21"/>
      <c r="B16" s="94" t="s">
        <v>93</v>
      </c>
      <c r="C16" s="88">
        <v>39327</v>
      </c>
      <c r="D16" s="96" t="s">
        <v>36</v>
      </c>
      <c r="E16" s="89" t="s">
        <v>39</v>
      </c>
      <c r="F16" s="93">
        <f>2+1</f>
        <v>3</v>
      </c>
      <c r="G16" s="90">
        <f>5+2</f>
        <v>7</v>
      </c>
      <c r="H16" s="93">
        <f>0.5+4+2.5</f>
        <v>7</v>
      </c>
      <c r="I16" s="17">
        <f t="shared" si="0"/>
        <v>17</v>
      </c>
    </row>
    <row r="17" spans="1:15" ht="81" customHeight="1" x14ac:dyDescent="0.3">
      <c r="A17" s="23"/>
      <c r="B17" s="89" t="s">
        <v>63</v>
      </c>
      <c r="C17" s="97">
        <v>39263</v>
      </c>
      <c r="D17" s="96" t="s">
        <v>31</v>
      </c>
      <c r="E17" s="89" t="s">
        <v>51</v>
      </c>
      <c r="F17" s="90">
        <f>2+1</f>
        <v>3</v>
      </c>
      <c r="G17" s="90">
        <f>5+2</f>
        <v>7</v>
      </c>
      <c r="H17" s="90">
        <f>3+2.5+0.5</f>
        <v>6</v>
      </c>
      <c r="I17" s="17">
        <f t="shared" si="0"/>
        <v>16</v>
      </c>
      <c r="J17" s="51"/>
      <c r="K17" s="51"/>
      <c r="L17" s="51"/>
      <c r="M17" s="51"/>
      <c r="N17" s="51"/>
      <c r="O17" s="51"/>
    </row>
    <row r="18" spans="1:15" s="15" customFormat="1" ht="78.599999999999994" customHeight="1" x14ac:dyDescent="0.25">
      <c r="A18" s="75"/>
      <c r="B18" s="80" t="s">
        <v>191</v>
      </c>
      <c r="C18" s="84">
        <v>38755</v>
      </c>
      <c r="D18" s="122" t="s">
        <v>36</v>
      </c>
      <c r="E18" s="80" t="s">
        <v>184</v>
      </c>
      <c r="F18" s="75">
        <f>2+1</f>
        <v>3</v>
      </c>
      <c r="G18" s="75">
        <f>5+2</f>
        <v>7</v>
      </c>
      <c r="H18" s="75">
        <f>3+2.5</f>
        <v>5.5</v>
      </c>
      <c r="I18" s="81">
        <f t="shared" si="0"/>
        <v>15.5</v>
      </c>
      <c r="J18" s="58"/>
      <c r="K18" s="58"/>
      <c r="L18" s="58"/>
      <c r="M18" s="58"/>
      <c r="N18" s="58"/>
      <c r="O18" s="58"/>
    </row>
    <row r="19" spans="1:15" s="15" customFormat="1" ht="80.099999999999994" customHeight="1" x14ac:dyDescent="0.25">
      <c r="A19" s="75"/>
      <c r="B19" s="94" t="s">
        <v>176</v>
      </c>
      <c r="C19" s="88">
        <v>39097</v>
      </c>
      <c r="D19" s="96" t="s">
        <v>45</v>
      </c>
      <c r="E19" s="94" t="s">
        <v>44</v>
      </c>
      <c r="F19" s="90">
        <f>2</f>
        <v>2</v>
      </c>
      <c r="G19" s="90">
        <f>5</f>
        <v>5</v>
      </c>
      <c r="H19" s="90">
        <f>0.5+3</f>
        <v>3.5</v>
      </c>
      <c r="I19" s="17">
        <f t="shared" si="0"/>
        <v>10.5</v>
      </c>
      <c r="J19" s="8"/>
      <c r="K19" s="51"/>
      <c r="L19" s="51"/>
      <c r="M19" s="51"/>
      <c r="N19" s="51"/>
      <c r="O19" s="51"/>
    </row>
    <row r="20" spans="1:15" ht="80.099999999999994" customHeight="1" x14ac:dyDescent="0.3">
      <c r="A20" s="23"/>
      <c r="B20" s="94" t="s">
        <v>29</v>
      </c>
      <c r="C20" s="88">
        <v>39676</v>
      </c>
      <c r="D20" s="96" t="s">
        <v>197</v>
      </c>
      <c r="E20" s="89" t="s">
        <v>317</v>
      </c>
      <c r="F20" s="90">
        <f>1</f>
        <v>1</v>
      </c>
      <c r="G20" s="90">
        <f>5</f>
        <v>5</v>
      </c>
      <c r="H20" s="90">
        <f>0.5+4</f>
        <v>4.5</v>
      </c>
      <c r="I20" s="81">
        <f t="shared" si="0"/>
        <v>10.5</v>
      </c>
      <c r="J20" s="8"/>
      <c r="K20" s="51"/>
      <c r="L20" s="51"/>
      <c r="M20" s="51"/>
      <c r="N20" s="51"/>
      <c r="O20" s="51"/>
    </row>
    <row r="21" spans="1:15" s="15" customFormat="1" ht="80.099999999999994" customHeight="1" x14ac:dyDescent="0.25">
      <c r="A21" s="21"/>
      <c r="B21" s="94" t="s">
        <v>102</v>
      </c>
      <c r="C21" s="88">
        <v>39225</v>
      </c>
      <c r="D21" s="96" t="s">
        <v>36</v>
      </c>
      <c r="E21" s="35" t="s">
        <v>83</v>
      </c>
      <c r="F21" s="93">
        <f>1+1</f>
        <v>2</v>
      </c>
      <c r="G21" s="90">
        <f>2+2</f>
        <v>4</v>
      </c>
      <c r="H21" s="93">
        <f>2.5+1.5</f>
        <v>4</v>
      </c>
      <c r="I21" s="17">
        <f t="shared" si="0"/>
        <v>10</v>
      </c>
    </row>
    <row r="22" spans="1:15" s="15" customFormat="1" ht="80.099999999999994" customHeight="1" x14ac:dyDescent="0.25">
      <c r="A22" s="75"/>
      <c r="B22" s="38" t="s">
        <v>146</v>
      </c>
      <c r="C22" s="39">
        <v>39106</v>
      </c>
      <c r="D22" s="96" t="s">
        <v>132</v>
      </c>
      <c r="E22" s="89" t="s">
        <v>247</v>
      </c>
      <c r="F22" s="90">
        <f>1</f>
        <v>1</v>
      </c>
      <c r="G22" s="90">
        <f>5</f>
        <v>5</v>
      </c>
      <c r="H22" s="90">
        <f>0.5+3</f>
        <v>3.5</v>
      </c>
      <c r="I22" s="17">
        <f t="shared" si="0"/>
        <v>9.5</v>
      </c>
    </row>
    <row r="23" spans="1:15" s="31" customFormat="1" ht="81" customHeight="1" x14ac:dyDescent="0.3">
      <c r="A23" s="23"/>
      <c r="B23" s="94" t="s">
        <v>70</v>
      </c>
      <c r="C23" s="88">
        <v>39556</v>
      </c>
      <c r="D23" s="96" t="s">
        <v>31</v>
      </c>
      <c r="E23" s="89" t="s">
        <v>51</v>
      </c>
      <c r="F23" s="90">
        <f>2</f>
        <v>2</v>
      </c>
      <c r="G23" s="90">
        <f>3</f>
        <v>3</v>
      </c>
      <c r="H23" s="90">
        <f>3+0.5</f>
        <v>3.5</v>
      </c>
      <c r="I23" s="17">
        <f t="shared" si="0"/>
        <v>8.5</v>
      </c>
      <c r="J23" s="51"/>
      <c r="K23" s="51"/>
      <c r="L23" s="51"/>
      <c r="M23" s="51"/>
      <c r="N23" s="51"/>
      <c r="O23" s="51"/>
    </row>
    <row r="24" spans="1:15" s="15" customFormat="1" ht="81" customHeight="1" x14ac:dyDescent="0.25">
      <c r="A24" s="75"/>
      <c r="B24" s="38" t="s">
        <v>303</v>
      </c>
      <c r="C24" s="88">
        <v>39077</v>
      </c>
      <c r="D24" s="87" t="s">
        <v>36</v>
      </c>
      <c r="E24" s="94" t="s">
        <v>39</v>
      </c>
      <c r="F24" s="90">
        <f>2</f>
        <v>2</v>
      </c>
      <c r="G24" s="37">
        <f>2</f>
        <v>2</v>
      </c>
      <c r="H24" s="90">
        <f>4</f>
        <v>4</v>
      </c>
      <c r="I24" s="17">
        <f t="shared" si="0"/>
        <v>8</v>
      </c>
      <c r="J24" s="51"/>
      <c r="K24" s="51"/>
      <c r="L24" s="51"/>
      <c r="M24" s="51"/>
      <c r="N24" s="51"/>
      <c r="O24" s="51"/>
    </row>
    <row r="25" spans="1:15" s="15" customFormat="1" ht="80.099999999999994" customHeight="1" x14ac:dyDescent="0.25">
      <c r="A25" s="75"/>
      <c r="B25" s="94" t="s">
        <v>316</v>
      </c>
      <c r="C25" s="88">
        <v>39399</v>
      </c>
      <c r="D25" s="95" t="s">
        <v>197</v>
      </c>
      <c r="E25" s="89" t="s">
        <v>317</v>
      </c>
      <c r="F25" s="90">
        <f>1</f>
        <v>1</v>
      </c>
      <c r="G25" s="90">
        <f>3</f>
        <v>3</v>
      </c>
      <c r="H25" s="90">
        <f>4</f>
        <v>4</v>
      </c>
      <c r="I25" s="17">
        <f t="shared" si="0"/>
        <v>8</v>
      </c>
      <c r="J25" s="51"/>
    </row>
    <row r="26" spans="1:15" s="15" customFormat="1" ht="80.099999999999994" customHeight="1" x14ac:dyDescent="0.25">
      <c r="A26" s="21"/>
      <c r="B26" s="94" t="s">
        <v>101</v>
      </c>
      <c r="C26" s="88">
        <v>39665</v>
      </c>
      <c r="D26" s="89" t="s">
        <v>84</v>
      </c>
      <c r="E26" s="89" t="s">
        <v>113</v>
      </c>
      <c r="F26" s="112">
        <f>1+0.5</f>
        <v>1.5</v>
      </c>
      <c r="G26" s="112">
        <f>2+0.5</f>
        <v>2.5</v>
      </c>
      <c r="H26" s="112">
        <f>0.5+1.5+0.5+1+0.5</f>
        <v>4</v>
      </c>
      <c r="I26" s="113">
        <f t="shared" si="0"/>
        <v>8</v>
      </c>
      <c r="J26" s="51"/>
    </row>
    <row r="27" spans="1:15" s="15" customFormat="1" ht="80.099999999999994" customHeight="1" x14ac:dyDescent="0.25">
      <c r="A27" s="75"/>
      <c r="B27" s="78" t="s">
        <v>216</v>
      </c>
      <c r="C27" s="84">
        <v>39511</v>
      </c>
      <c r="D27" s="96" t="s">
        <v>36</v>
      </c>
      <c r="E27" s="89" t="s">
        <v>83</v>
      </c>
      <c r="F27" s="75">
        <f>1+1</f>
        <v>2</v>
      </c>
      <c r="G27" s="75">
        <f>0.5+1.5</f>
        <v>2</v>
      </c>
      <c r="H27" s="75">
        <f>1.5+1.5</f>
        <v>3</v>
      </c>
      <c r="I27" s="17">
        <f t="shared" si="0"/>
        <v>7</v>
      </c>
      <c r="J27" s="8"/>
    </row>
    <row r="28" spans="1:15" s="15" customFormat="1" ht="81" customHeight="1" x14ac:dyDescent="0.25">
      <c r="A28" s="21"/>
      <c r="B28" s="38" t="s">
        <v>314</v>
      </c>
      <c r="C28" s="88">
        <v>39798</v>
      </c>
      <c r="D28" s="122" t="s">
        <v>36</v>
      </c>
      <c r="E28" s="80" t="s">
        <v>184</v>
      </c>
      <c r="F28" s="93">
        <f>1</f>
        <v>1</v>
      </c>
      <c r="G28" s="37">
        <f>1</f>
        <v>1</v>
      </c>
      <c r="H28" s="93">
        <f>5</f>
        <v>5</v>
      </c>
      <c r="I28" s="17">
        <f t="shared" si="0"/>
        <v>7</v>
      </c>
      <c r="J28" s="51"/>
      <c r="K28" s="51"/>
      <c r="L28" s="51"/>
      <c r="M28" s="51"/>
      <c r="N28" s="51"/>
      <c r="O28" s="51"/>
    </row>
    <row r="29" spans="1:15" s="15" customFormat="1" ht="81" customHeight="1" x14ac:dyDescent="0.3">
      <c r="A29" s="23"/>
      <c r="B29" s="38" t="s">
        <v>48</v>
      </c>
      <c r="C29" s="39">
        <v>39048</v>
      </c>
      <c r="D29" s="96" t="s">
        <v>45</v>
      </c>
      <c r="E29" s="94" t="s">
        <v>44</v>
      </c>
      <c r="F29" s="90">
        <f>1</f>
        <v>1</v>
      </c>
      <c r="G29" s="37">
        <f>1.5</f>
        <v>1.5</v>
      </c>
      <c r="H29" s="90">
        <f>2.5+0.5</f>
        <v>3</v>
      </c>
      <c r="I29" s="17">
        <f t="shared" si="0"/>
        <v>5.5</v>
      </c>
      <c r="J29" s="46"/>
      <c r="K29" s="31"/>
      <c r="L29" s="31"/>
      <c r="M29" s="31"/>
      <c r="N29" s="31"/>
      <c r="O29" s="31"/>
    </row>
    <row r="30" spans="1:15" s="15" customFormat="1" ht="81" customHeight="1" x14ac:dyDescent="0.25">
      <c r="A30" s="75"/>
      <c r="B30" s="94" t="s">
        <v>315</v>
      </c>
      <c r="C30" s="88">
        <v>39676</v>
      </c>
      <c r="D30" s="95" t="s">
        <v>37</v>
      </c>
      <c r="E30" s="95" t="s">
        <v>38</v>
      </c>
      <c r="F30" s="90">
        <f>1</f>
        <v>1</v>
      </c>
      <c r="G30" s="90">
        <f>1</f>
        <v>1</v>
      </c>
      <c r="H30" s="90">
        <f>3</f>
        <v>3</v>
      </c>
      <c r="I30" s="17">
        <f t="shared" si="0"/>
        <v>5</v>
      </c>
      <c r="J30" s="51"/>
    </row>
    <row r="31" spans="1:15" s="15" customFormat="1" ht="80.099999999999994" customHeight="1" x14ac:dyDescent="0.25">
      <c r="A31" s="75"/>
      <c r="B31" s="94" t="s">
        <v>322</v>
      </c>
      <c r="C31" s="88">
        <v>39360</v>
      </c>
      <c r="D31" s="122" t="s">
        <v>36</v>
      </c>
      <c r="E31" s="80" t="s">
        <v>184</v>
      </c>
      <c r="F31" s="90">
        <f>1</f>
        <v>1</v>
      </c>
      <c r="G31" s="90">
        <f>0.5</f>
        <v>0.5</v>
      </c>
      <c r="H31" s="90">
        <f>2.5</f>
        <v>2.5</v>
      </c>
      <c r="I31" s="17">
        <f t="shared" si="0"/>
        <v>4</v>
      </c>
      <c r="J31" s="51"/>
    </row>
    <row r="32" spans="1:15" s="15" customFormat="1" ht="80.099999999999994" customHeight="1" x14ac:dyDescent="0.25">
      <c r="A32" s="75"/>
      <c r="B32" s="78" t="s">
        <v>236</v>
      </c>
      <c r="C32" s="84">
        <v>39152</v>
      </c>
      <c r="D32" s="96" t="s">
        <v>168</v>
      </c>
      <c r="E32" s="89" t="s">
        <v>113</v>
      </c>
      <c r="F32" s="75">
        <f>1</f>
        <v>1</v>
      </c>
      <c r="G32" s="75">
        <f>0.5</f>
        <v>0.5</v>
      </c>
      <c r="H32" s="75">
        <f>1.5</f>
        <v>1.5</v>
      </c>
      <c r="I32" s="17">
        <f t="shared" si="0"/>
        <v>3</v>
      </c>
      <c r="J32" s="8"/>
    </row>
    <row r="33" spans="1:15" s="15" customFormat="1" ht="80.099999999999994" customHeight="1" x14ac:dyDescent="0.3">
      <c r="A33" s="23"/>
      <c r="B33" s="41" t="s">
        <v>73</v>
      </c>
      <c r="C33" s="91">
        <v>39056</v>
      </c>
      <c r="D33" s="71" t="s">
        <v>31</v>
      </c>
      <c r="E33" s="41" t="s">
        <v>32</v>
      </c>
      <c r="F33" s="93"/>
      <c r="G33" s="90"/>
      <c r="H33" s="93">
        <f>0.5</f>
        <v>0.5</v>
      </c>
      <c r="I33" s="17">
        <f t="shared" si="0"/>
        <v>0.5</v>
      </c>
      <c r="J33" s="51"/>
    </row>
    <row r="34" spans="1:15" s="15" customFormat="1" ht="80.099999999999994" customHeight="1" x14ac:dyDescent="0.25">
      <c r="A34" s="75"/>
      <c r="B34" s="41" t="s">
        <v>105</v>
      </c>
      <c r="C34" s="91">
        <v>38833</v>
      </c>
      <c r="D34" s="87" t="s">
        <v>36</v>
      </c>
      <c r="E34" s="94" t="s">
        <v>39</v>
      </c>
      <c r="F34" s="90"/>
      <c r="G34" s="90"/>
      <c r="H34" s="90">
        <f>0.5</f>
        <v>0.5</v>
      </c>
      <c r="I34" s="17">
        <f t="shared" si="0"/>
        <v>0.5</v>
      </c>
      <c r="J34" s="8"/>
    </row>
    <row r="35" spans="1:15" s="51" customFormat="1" ht="81" customHeight="1" x14ac:dyDescent="0.25">
      <c r="A35" s="75"/>
      <c r="B35" s="78" t="s">
        <v>295</v>
      </c>
      <c r="C35" s="136">
        <v>38979</v>
      </c>
      <c r="D35" s="96" t="s">
        <v>31</v>
      </c>
      <c r="E35" s="94" t="s">
        <v>32</v>
      </c>
      <c r="F35" s="75"/>
      <c r="G35" s="75"/>
      <c r="H35" s="75">
        <f>0.5</f>
        <v>0.5</v>
      </c>
      <c r="I35" s="17">
        <f t="shared" si="0"/>
        <v>0.5</v>
      </c>
    </row>
    <row r="36" spans="1:15" s="51" customFormat="1" ht="81" customHeight="1" x14ac:dyDescent="0.25">
      <c r="A36" s="75"/>
      <c r="B36" s="94" t="s">
        <v>296</v>
      </c>
      <c r="C36" s="88">
        <v>39148</v>
      </c>
      <c r="D36" s="96" t="s">
        <v>31</v>
      </c>
      <c r="E36" s="94" t="s">
        <v>32</v>
      </c>
      <c r="F36" s="90"/>
      <c r="G36" s="90"/>
      <c r="H36" s="90">
        <f>0.5</f>
        <v>0.5</v>
      </c>
      <c r="I36" s="81">
        <f t="shared" si="0"/>
        <v>0.5</v>
      </c>
      <c r="J36" s="8"/>
    </row>
    <row r="37" spans="1:15" s="51" customFormat="1" ht="81" customHeight="1" x14ac:dyDescent="0.3">
      <c r="A37" s="23"/>
      <c r="B37" s="94" t="s">
        <v>202</v>
      </c>
      <c r="C37" s="88">
        <v>39735</v>
      </c>
      <c r="D37" s="96" t="s">
        <v>36</v>
      </c>
      <c r="E37" s="94" t="s">
        <v>39</v>
      </c>
      <c r="F37" s="93"/>
      <c r="G37" s="90"/>
      <c r="H37" s="93"/>
      <c r="I37" s="81">
        <f t="shared" si="0"/>
        <v>0</v>
      </c>
    </row>
    <row r="38" spans="1:15" s="51" customFormat="1" ht="81" customHeight="1" x14ac:dyDescent="0.25">
      <c r="A38" s="75"/>
      <c r="B38" s="80" t="s">
        <v>190</v>
      </c>
      <c r="C38" s="79">
        <v>39059</v>
      </c>
      <c r="D38" s="122" t="s">
        <v>40</v>
      </c>
      <c r="E38" s="80" t="s">
        <v>175</v>
      </c>
      <c r="F38" s="75"/>
      <c r="G38" s="75"/>
      <c r="H38" s="75"/>
      <c r="I38" s="81">
        <f t="shared" si="0"/>
        <v>0</v>
      </c>
    </row>
    <row r="39" spans="1:15" s="51" customFormat="1" ht="81" customHeight="1" x14ac:dyDescent="0.25">
      <c r="A39" s="75"/>
      <c r="B39" s="94" t="s">
        <v>204</v>
      </c>
      <c r="C39" s="88">
        <v>39398</v>
      </c>
      <c r="D39" s="87" t="s">
        <v>40</v>
      </c>
      <c r="E39" s="94" t="s">
        <v>175</v>
      </c>
      <c r="F39" s="90"/>
      <c r="G39" s="90"/>
      <c r="H39" s="90"/>
      <c r="I39" s="81">
        <f t="shared" si="0"/>
        <v>0</v>
      </c>
    </row>
    <row r="40" spans="1:15" s="15" customFormat="1" ht="80.099999999999994" customHeight="1" x14ac:dyDescent="0.25">
      <c r="A40" s="21"/>
      <c r="B40" s="41" t="s">
        <v>145</v>
      </c>
      <c r="C40" s="91">
        <v>39593</v>
      </c>
      <c r="D40" s="71" t="s">
        <v>36</v>
      </c>
      <c r="E40" s="92" t="s">
        <v>83</v>
      </c>
      <c r="F40" s="93"/>
      <c r="G40" s="90"/>
      <c r="H40" s="93"/>
      <c r="I40" s="81">
        <f t="shared" si="0"/>
        <v>0</v>
      </c>
      <c r="J40" s="51"/>
      <c r="K40" s="51"/>
      <c r="L40" s="51"/>
      <c r="M40" s="51"/>
      <c r="N40" s="51"/>
      <c r="O40" s="51"/>
    </row>
    <row r="41" spans="1:15" s="51" customFormat="1" ht="81" customHeight="1" x14ac:dyDescent="0.25">
      <c r="A41" s="8"/>
      <c r="B41" s="42"/>
      <c r="C41" s="70"/>
      <c r="D41" s="127"/>
      <c r="E41" s="44"/>
      <c r="F41" s="43"/>
      <c r="G41" s="43"/>
      <c r="H41" s="43"/>
      <c r="I41" s="60"/>
    </row>
    <row r="42" spans="1:15" s="51" customFormat="1" ht="81" customHeight="1" x14ac:dyDescent="0.25">
      <c r="A42" s="8"/>
      <c r="B42" s="42"/>
      <c r="C42" s="70"/>
      <c r="D42" s="127"/>
      <c r="E42" s="127"/>
      <c r="F42" s="43"/>
      <c r="G42" s="43"/>
      <c r="H42" s="43"/>
      <c r="I42" s="60"/>
    </row>
    <row r="43" spans="1:15" s="12" customFormat="1" x14ac:dyDescent="0.25">
      <c r="A43" s="8"/>
      <c r="B43" s="42"/>
      <c r="C43" s="42"/>
      <c r="D43" s="102"/>
      <c r="E43" s="44"/>
      <c r="F43" s="43"/>
      <c r="G43" s="43"/>
      <c r="H43" s="43"/>
      <c r="I43" s="43"/>
    </row>
    <row r="44" spans="1:15" s="11" customFormat="1" x14ac:dyDescent="0.25">
      <c r="A44" s="8"/>
      <c r="B44" s="28"/>
      <c r="C44" s="28"/>
      <c r="D44" s="123"/>
      <c r="E44" s="30"/>
      <c r="F44" s="8"/>
      <c r="G44" s="8"/>
      <c r="H44" s="8"/>
      <c r="I44" s="8"/>
    </row>
    <row r="45" spans="1:15" x14ac:dyDescent="0.25">
      <c r="J45" s="154" t="s">
        <v>4</v>
      </c>
      <c r="K45" s="154"/>
      <c r="L45" s="154"/>
      <c r="M45" s="154"/>
      <c r="N45" s="154"/>
      <c r="O45" s="154"/>
    </row>
    <row r="46" spans="1:15" x14ac:dyDescent="0.25">
      <c r="J46" s="155" t="s">
        <v>6</v>
      </c>
      <c r="K46" s="155"/>
      <c r="L46" s="155" t="s">
        <v>5</v>
      </c>
      <c r="M46" s="155"/>
      <c r="N46" s="155" t="s">
        <v>3</v>
      </c>
      <c r="O46" s="155"/>
    </row>
    <row r="47" spans="1:15" x14ac:dyDescent="0.25">
      <c r="J47" s="2" t="s">
        <v>22</v>
      </c>
      <c r="K47" s="5" t="s">
        <v>8</v>
      </c>
      <c r="L47" s="2" t="s">
        <v>18</v>
      </c>
      <c r="M47" s="5" t="s">
        <v>8</v>
      </c>
      <c r="N47" s="2" t="s">
        <v>7</v>
      </c>
      <c r="O47" s="5" t="s">
        <v>8</v>
      </c>
    </row>
    <row r="48" spans="1:15" ht="39.6" customHeight="1" x14ac:dyDescent="0.25">
      <c r="J48" s="3" t="s">
        <v>23</v>
      </c>
      <c r="K48" s="5" t="s">
        <v>10</v>
      </c>
      <c r="L48" s="2" t="s">
        <v>19</v>
      </c>
      <c r="M48" s="5" t="s">
        <v>12</v>
      </c>
      <c r="N48" s="2" t="s">
        <v>9</v>
      </c>
      <c r="O48" s="5" t="s">
        <v>10</v>
      </c>
    </row>
    <row r="49" spans="10:15" x14ac:dyDescent="0.25">
      <c r="J49" s="2" t="s">
        <v>24</v>
      </c>
      <c r="K49" s="5" t="s">
        <v>12</v>
      </c>
      <c r="L49" s="2" t="s">
        <v>20</v>
      </c>
      <c r="M49" s="5" t="s">
        <v>14</v>
      </c>
      <c r="N49" s="2" t="s">
        <v>11</v>
      </c>
      <c r="O49" s="5" t="s">
        <v>12</v>
      </c>
    </row>
    <row r="50" spans="10:15" x14ac:dyDescent="0.25">
      <c r="J50" s="2" t="s">
        <v>25</v>
      </c>
      <c r="K50" s="5" t="s">
        <v>14</v>
      </c>
      <c r="L50" s="2" t="s">
        <v>21</v>
      </c>
      <c r="M50" s="5" t="s">
        <v>16</v>
      </c>
      <c r="N50" s="2"/>
      <c r="O50" s="5"/>
    </row>
    <row r="51" spans="10:15" x14ac:dyDescent="0.25">
      <c r="J51" s="2" t="s">
        <v>26</v>
      </c>
      <c r="K51" s="5" t="s">
        <v>16</v>
      </c>
      <c r="L51" s="4"/>
      <c r="M51" s="6"/>
      <c r="N51" s="2"/>
      <c r="O51" s="5"/>
    </row>
    <row r="52" spans="10:15" x14ac:dyDescent="0.25">
      <c r="J52" s="2"/>
      <c r="K52" s="5"/>
      <c r="L52" s="4"/>
      <c r="M52" s="6"/>
      <c r="N52" s="2" t="s">
        <v>17</v>
      </c>
      <c r="O52" s="7">
        <v>0.5</v>
      </c>
    </row>
    <row r="53" spans="10:15" x14ac:dyDescent="0.25">
      <c r="J53" s="1"/>
      <c r="K53" s="1"/>
    </row>
    <row r="55" spans="10:15" x14ac:dyDescent="0.25">
      <c r="J55" s="75" t="s">
        <v>6</v>
      </c>
      <c r="K55" s="75" t="s">
        <v>5</v>
      </c>
      <c r="L55" s="75" t="s">
        <v>3</v>
      </c>
      <c r="M55" s="75"/>
      <c r="N55" s="75"/>
      <c r="O55" s="75"/>
    </row>
    <row r="56" spans="10:15" x14ac:dyDescent="0.25">
      <c r="J56" s="75" t="s">
        <v>282</v>
      </c>
      <c r="K56" s="75" t="s">
        <v>16</v>
      </c>
      <c r="L56" s="75" t="s">
        <v>217</v>
      </c>
      <c r="M56" s="75" t="s">
        <v>14</v>
      </c>
      <c r="N56" s="75" t="s">
        <v>7</v>
      </c>
      <c r="O56" s="75" t="s">
        <v>218</v>
      </c>
    </row>
    <row r="57" spans="10:15" x14ac:dyDescent="0.25">
      <c r="J57" s="75"/>
      <c r="K57" s="75"/>
      <c r="L57" s="75" t="s">
        <v>219</v>
      </c>
      <c r="M57" s="75" t="s">
        <v>220</v>
      </c>
      <c r="N57" s="75" t="s">
        <v>9</v>
      </c>
      <c r="O57" s="75" t="s">
        <v>14</v>
      </c>
    </row>
    <row r="58" spans="10:15" x14ac:dyDescent="0.25">
      <c r="J58" s="75"/>
      <c r="K58" s="75"/>
      <c r="L58" s="75"/>
      <c r="M58" s="75"/>
      <c r="N58" s="75" t="s">
        <v>11</v>
      </c>
      <c r="O58" s="75" t="s">
        <v>221</v>
      </c>
    </row>
    <row r="59" spans="10:15" x14ac:dyDescent="0.25">
      <c r="J59" s="75"/>
      <c r="K59" s="75"/>
      <c r="L59" s="75"/>
      <c r="M59" s="75"/>
      <c r="N59" s="75" t="s">
        <v>17</v>
      </c>
      <c r="O59" s="75">
        <v>0.5</v>
      </c>
    </row>
    <row r="60" spans="10:15" x14ac:dyDescent="0.25">
      <c r="J60" s="75"/>
      <c r="K60" s="75"/>
      <c r="L60" s="75"/>
      <c r="M60" s="75"/>
      <c r="N60" s="75"/>
      <c r="O60" s="75"/>
    </row>
  </sheetData>
  <autoFilter ref="A1:O1" xr:uid="{00000000-0009-0000-0000-000005000000}">
    <sortState ref="A2:O40">
      <sortCondition descending="1" ref="I1"/>
    </sortState>
  </autoFilter>
  <sortState ref="A2:O40">
    <sortCondition descending="1" ref="I2:I40"/>
  </sortState>
  <mergeCells count="4">
    <mergeCell ref="J45:O45"/>
    <mergeCell ref="J46:K46"/>
    <mergeCell ref="L46:M46"/>
    <mergeCell ref="N46:O46"/>
  </mergeCells>
  <conditionalFormatting sqref="B16">
    <cfRule type="duplicateValues" dxfId="82" priority="72" stopIfTrue="1"/>
    <cfRule type="duplicateValues" dxfId="81" priority="73" stopIfTrue="1"/>
  </conditionalFormatting>
  <conditionalFormatting sqref="B6">
    <cfRule type="duplicateValues" dxfId="80" priority="68" stopIfTrue="1"/>
    <cfRule type="duplicateValues" dxfId="79" priority="69" stopIfTrue="1"/>
  </conditionalFormatting>
  <conditionalFormatting sqref="B5">
    <cfRule type="duplicateValues" dxfId="78" priority="66" stopIfTrue="1"/>
    <cfRule type="duplicateValues" dxfId="77" priority="67" stopIfTrue="1"/>
  </conditionalFormatting>
  <conditionalFormatting sqref="B12 B15">
    <cfRule type="duplicateValues" dxfId="76" priority="64" stopIfTrue="1"/>
    <cfRule type="duplicateValues" dxfId="75" priority="65" stopIfTrue="1"/>
  </conditionalFormatting>
  <conditionalFormatting sqref="B7">
    <cfRule type="duplicateValues" dxfId="74" priority="62" stopIfTrue="1"/>
    <cfRule type="duplicateValues" dxfId="73" priority="63" stopIfTrue="1"/>
  </conditionalFormatting>
  <conditionalFormatting sqref="B14">
    <cfRule type="duplicateValues" dxfId="72" priority="60" stopIfTrue="1"/>
    <cfRule type="duplicateValues" dxfId="71" priority="61" stopIfTrue="1"/>
  </conditionalFormatting>
  <conditionalFormatting sqref="B13">
    <cfRule type="duplicateValues" dxfId="70" priority="58" stopIfTrue="1"/>
    <cfRule type="duplicateValues" dxfId="69" priority="59" stopIfTrue="1"/>
  </conditionalFormatting>
  <conditionalFormatting sqref="B10:B11">
    <cfRule type="duplicateValues" dxfId="68" priority="54" stopIfTrue="1"/>
    <cfRule type="duplicateValues" dxfId="67" priority="55" stopIfTrue="1"/>
  </conditionalFormatting>
  <conditionalFormatting sqref="B8:B9">
    <cfRule type="duplicateValues" dxfId="66" priority="52" stopIfTrue="1"/>
    <cfRule type="duplicateValues" dxfId="65" priority="53" stopIfTrue="1"/>
  </conditionalFormatting>
  <conditionalFormatting sqref="B19">
    <cfRule type="duplicateValues" dxfId="64" priority="50" stopIfTrue="1"/>
    <cfRule type="duplicateValues" dxfId="63" priority="51" stopIfTrue="1"/>
  </conditionalFormatting>
  <conditionalFormatting sqref="B21:B22">
    <cfRule type="duplicateValues" dxfId="62" priority="48" stopIfTrue="1"/>
    <cfRule type="duplicateValues" dxfId="61" priority="49" stopIfTrue="1"/>
  </conditionalFormatting>
  <conditionalFormatting sqref="B27">
    <cfRule type="duplicateValues" dxfId="60" priority="46" stopIfTrue="1"/>
    <cfRule type="duplicateValues" dxfId="59" priority="47" stopIfTrue="1"/>
  </conditionalFormatting>
  <conditionalFormatting sqref="B33">
    <cfRule type="duplicateValues" dxfId="58" priority="45" stopIfTrue="1"/>
  </conditionalFormatting>
  <conditionalFormatting sqref="B34">
    <cfRule type="duplicateValues" dxfId="57" priority="34" stopIfTrue="1"/>
    <cfRule type="duplicateValues" dxfId="56" priority="35" stopIfTrue="1"/>
  </conditionalFormatting>
  <conditionalFormatting sqref="B34">
    <cfRule type="duplicateValues" dxfId="55" priority="36" stopIfTrue="1"/>
  </conditionalFormatting>
  <conditionalFormatting sqref="B18">
    <cfRule type="duplicateValues" dxfId="54" priority="17"/>
    <cfRule type="duplicateValues" dxfId="53" priority="18"/>
    <cfRule type="duplicateValues" dxfId="52" priority="19"/>
  </conditionalFormatting>
  <conditionalFormatting sqref="B33">
    <cfRule type="duplicateValues" dxfId="51" priority="195" stopIfTrue="1"/>
    <cfRule type="duplicateValues" dxfId="50" priority="196" stopIfTrue="1"/>
  </conditionalFormatting>
  <conditionalFormatting sqref="B3">
    <cfRule type="duplicateValues" dxfId="49" priority="15" stopIfTrue="1"/>
    <cfRule type="duplicateValues" dxfId="48" priority="16" stopIfTrue="1"/>
  </conditionalFormatting>
  <conditionalFormatting sqref="B3">
    <cfRule type="duplicateValues" dxfId="47" priority="12"/>
    <cfRule type="duplicateValues" dxfId="46" priority="13"/>
    <cfRule type="duplicateValues" dxfId="45" priority="14"/>
  </conditionalFormatting>
  <conditionalFormatting sqref="B20">
    <cfRule type="duplicateValues" dxfId="44" priority="10" stopIfTrue="1"/>
    <cfRule type="duplicateValues" dxfId="43" priority="11" stopIfTrue="1"/>
  </conditionalFormatting>
  <conditionalFormatting sqref="B20">
    <cfRule type="duplicateValues" dxfId="42" priority="7"/>
    <cfRule type="duplicateValues" dxfId="41" priority="8"/>
    <cfRule type="duplicateValues" dxfId="40" priority="9"/>
  </conditionalFormatting>
  <conditionalFormatting sqref="B40">
    <cfRule type="duplicateValues" dxfId="39" priority="4" stopIfTrue="1"/>
    <cfRule type="duplicateValues" dxfId="38" priority="5" stopIfTrue="1"/>
  </conditionalFormatting>
  <conditionalFormatting sqref="B40">
    <cfRule type="duplicateValues" dxfId="37" priority="6" stopIfTrue="1"/>
  </conditionalFormatting>
  <conditionalFormatting sqref="B40">
    <cfRule type="duplicateValues" dxfId="36" priority="1"/>
    <cfRule type="duplicateValues" dxfId="35" priority="2"/>
    <cfRule type="duplicateValues" dxfId="34" priority="3"/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152"/>
  <sheetViews>
    <sheetView topLeftCell="A11" zoomScale="90" zoomScaleNormal="90" workbookViewId="0">
      <selection activeCell="F5" sqref="F5"/>
    </sheetView>
  </sheetViews>
  <sheetFormatPr defaultRowHeight="15.75" x14ac:dyDescent="0.25"/>
  <cols>
    <col min="1" max="1" width="16.7109375" style="20" customWidth="1"/>
    <col min="2" max="2" width="22.140625" style="105" customWidth="1"/>
    <col min="3" max="3" width="16.28515625" style="105" customWidth="1"/>
    <col min="4" max="4" width="14.28515625" style="105" customWidth="1"/>
    <col min="5" max="5" width="11.140625" style="105" customWidth="1"/>
    <col min="6" max="6" width="13.85546875" style="116" customWidth="1"/>
    <col min="7" max="7" width="10.5703125" style="116" customWidth="1"/>
    <col min="8" max="8" width="7" style="116" customWidth="1"/>
    <col min="9" max="9" width="5.85546875" style="116" customWidth="1"/>
    <col min="10" max="10" width="23.85546875" customWidth="1"/>
    <col min="14" max="14" width="11.42578125" customWidth="1"/>
  </cols>
  <sheetData>
    <row r="1" spans="1:15" s="58" customFormat="1" ht="44.45" customHeight="1" x14ac:dyDescent="0.25">
      <c r="A1" s="99" t="s">
        <v>27</v>
      </c>
      <c r="B1" s="99" t="s">
        <v>0</v>
      </c>
      <c r="C1" s="99" t="s">
        <v>64</v>
      </c>
      <c r="D1" s="99" t="s">
        <v>1</v>
      </c>
      <c r="E1" s="99" t="s">
        <v>2</v>
      </c>
      <c r="F1" s="61" t="s">
        <v>6</v>
      </c>
      <c r="G1" s="119" t="s">
        <v>5</v>
      </c>
      <c r="H1" s="119" t="s">
        <v>3</v>
      </c>
      <c r="I1" s="120" t="s">
        <v>66</v>
      </c>
    </row>
    <row r="2" spans="1:15" ht="80.099999999999994" customHeight="1" x14ac:dyDescent="0.25">
      <c r="A2" s="64"/>
      <c r="B2" s="49" t="s">
        <v>119</v>
      </c>
      <c r="C2" s="140">
        <v>39965</v>
      </c>
      <c r="D2" s="49" t="s">
        <v>45</v>
      </c>
      <c r="E2" s="49" t="s">
        <v>50</v>
      </c>
      <c r="F2" s="150">
        <f>2+2+2+1+1</f>
        <v>8</v>
      </c>
      <c r="G2" s="150">
        <f>3+5+3+5+3</f>
        <v>19</v>
      </c>
      <c r="H2" s="150">
        <f>4+0.5+4+3+5+3</f>
        <v>19.5</v>
      </c>
      <c r="I2" s="113">
        <f t="shared" ref="I2:I33" si="0">F2+G2+H2</f>
        <v>46.5</v>
      </c>
    </row>
    <row r="3" spans="1:15" ht="80.099999999999994" customHeight="1" x14ac:dyDescent="0.25">
      <c r="A3" s="21"/>
      <c r="B3" s="49" t="s">
        <v>152</v>
      </c>
      <c r="C3" s="140">
        <v>39977</v>
      </c>
      <c r="D3" s="137" t="s">
        <v>132</v>
      </c>
      <c r="E3" s="137" t="s">
        <v>247</v>
      </c>
      <c r="F3" s="150">
        <f>1+2+2+2+1+1</f>
        <v>9</v>
      </c>
      <c r="G3" s="113">
        <f>2+3+3+2+3</f>
        <v>13</v>
      </c>
      <c r="H3" s="150">
        <f>2+5+0.5+4+5+4</f>
        <v>20.5</v>
      </c>
      <c r="I3" s="113">
        <f t="shared" si="0"/>
        <v>42.5</v>
      </c>
    </row>
    <row r="4" spans="1:15" s="12" customFormat="1" ht="80.099999999999994" customHeight="1" x14ac:dyDescent="0.25">
      <c r="A4" s="53"/>
      <c r="B4" s="49" t="s">
        <v>180</v>
      </c>
      <c r="C4" s="140">
        <v>40756</v>
      </c>
      <c r="D4" s="137" t="s">
        <v>45</v>
      </c>
      <c r="E4" s="49" t="s">
        <v>50</v>
      </c>
      <c r="F4" s="150">
        <f>2+2+2+1+1+0.5</f>
        <v>8.5</v>
      </c>
      <c r="G4" s="113">
        <f>3+1+3+1+3+0</f>
        <v>11</v>
      </c>
      <c r="H4" s="150">
        <f>4+5+3+5+3+1</f>
        <v>21</v>
      </c>
      <c r="I4" s="113">
        <f t="shared" si="0"/>
        <v>40.5</v>
      </c>
    </row>
    <row r="5" spans="1:15" s="15" customFormat="1" ht="80.099999999999994" customHeight="1" x14ac:dyDescent="0.25">
      <c r="A5" s="21"/>
      <c r="B5" s="78" t="s">
        <v>129</v>
      </c>
      <c r="C5" s="79">
        <v>39772</v>
      </c>
      <c r="D5" s="82" t="s">
        <v>197</v>
      </c>
      <c r="E5" s="89" t="s">
        <v>317</v>
      </c>
      <c r="F5" s="93">
        <f>2+2+5</f>
        <v>9</v>
      </c>
      <c r="G5" s="90">
        <f>5+5+5</f>
        <v>15</v>
      </c>
      <c r="H5" s="93">
        <f>5+4+0.5+5</f>
        <v>14.5</v>
      </c>
      <c r="I5" s="81">
        <f t="shared" si="0"/>
        <v>38.5</v>
      </c>
    </row>
    <row r="6" spans="1:15" s="12" customFormat="1" ht="80.099999999999994" customHeight="1" x14ac:dyDescent="0.25">
      <c r="A6" s="21"/>
      <c r="B6" s="94" t="s">
        <v>91</v>
      </c>
      <c r="C6" s="88">
        <v>40813</v>
      </c>
      <c r="D6" s="89" t="s">
        <v>37</v>
      </c>
      <c r="E6" s="96" t="s">
        <v>331</v>
      </c>
      <c r="F6" s="111">
        <f>2+2+2+1+1</f>
        <v>8</v>
      </c>
      <c r="G6" s="112">
        <f>1+1+1+1+3</f>
        <v>7</v>
      </c>
      <c r="H6" s="111">
        <f>4+4+0.5+5+3+5</f>
        <v>21.5</v>
      </c>
      <c r="I6" s="113">
        <f t="shared" si="0"/>
        <v>36.5</v>
      </c>
    </row>
    <row r="7" spans="1:15" s="14" customFormat="1" ht="80.099999999999994" customHeight="1" x14ac:dyDescent="0.3">
      <c r="A7" s="22"/>
      <c r="B7" s="94" t="s">
        <v>52</v>
      </c>
      <c r="C7" s="88">
        <v>39861</v>
      </c>
      <c r="D7" s="89" t="s">
        <v>31</v>
      </c>
      <c r="E7" s="94" t="s">
        <v>32</v>
      </c>
      <c r="F7" s="112">
        <f>2+2+1</f>
        <v>5</v>
      </c>
      <c r="G7" s="112">
        <f>5+5+5</f>
        <v>15</v>
      </c>
      <c r="H7" s="112">
        <f>4+5+5+0.5</f>
        <v>14.5</v>
      </c>
      <c r="I7" s="113">
        <f t="shared" si="0"/>
        <v>34.5</v>
      </c>
    </row>
    <row r="8" spans="1:15" s="12" customFormat="1" ht="80.099999999999994" customHeight="1" x14ac:dyDescent="0.25">
      <c r="A8" s="21"/>
      <c r="B8" s="94" t="s">
        <v>139</v>
      </c>
      <c r="C8" s="70">
        <v>40204</v>
      </c>
      <c r="D8" s="89" t="s">
        <v>132</v>
      </c>
      <c r="E8" s="89" t="s">
        <v>247</v>
      </c>
      <c r="F8" s="111">
        <f>1+2+2+1</f>
        <v>6</v>
      </c>
      <c r="G8" s="112">
        <f>2+3+3+3</f>
        <v>11</v>
      </c>
      <c r="H8" s="111">
        <f>1.5+3+0.5+0.5+4+0.5+4</f>
        <v>14</v>
      </c>
      <c r="I8" s="113">
        <f t="shared" si="0"/>
        <v>31</v>
      </c>
    </row>
    <row r="9" spans="1:15" s="15" customFormat="1" ht="80.099999999999994" customHeight="1" x14ac:dyDescent="0.3">
      <c r="A9" s="23"/>
      <c r="B9" s="89" t="s">
        <v>59</v>
      </c>
      <c r="C9" s="97">
        <v>39856</v>
      </c>
      <c r="D9" s="89" t="s">
        <v>37</v>
      </c>
      <c r="E9" s="96" t="s">
        <v>331</v>
      </c>
      <c r="F9" s="112">
        <f>2+2+2+1</f>
        <v>7</v>
      </c>
      <c r="G9" s="112">
        <f>1+1+1+3</f>
        <v>6</v>
      </c>
      <c r="H9" s="112">
        <f>3+4+0.5+5+0.5+5</f>
        <v>18</v>
      </c>
      <c r="I9" s="113">
        <f t="shared" si="0"/>
        <v>31</v>
      </c>
    </row>
    <row r="10" spans="1:15" s="15" customFormat="1" ht="80.099999999999994" customHeight="1" x14ac:dyDescent="0.25">
      <c r="A10" s="86"/>
      <c r="B10" s="96" t="s">
        <v>159</v>
      </c>
      <c r="C10" s="97">
        <v>41441</v>
      </c>
      <c r="D10" s="89" t="s">
        <v>168</v>
      </c>
      <c r="E10" s="89" t="s">
        <v>113</v>
      </c>
      <c r="F10" s="112">
        <f>1+1+3+0.5+0.5+0.5</f>
        <v>6.5</v>
      </c>
      <c r="G10" s="113">
        <f>2+2+2+2+0.5+0.5+0.5</f>
        <v>9.5</v>
      </c>
      <c r="H10" s="113">
        <f>2+2.5+2.5+4+0+0+1</f>
        <v>12</v>
      </c>
      <c r="I10" s="113">
        <f t="shared" si="0"/>
        <v>28</v>
      </c>
    </row>
    <row r="11" spans="1:15" s="15" customFormat="1" ht="80.099999999999994" customHeight="1" x14ac:dyDescent="0.25">
      <c r="A11" s="21"/>
      <c r="B11" s="94" t="s">
        <v>142</v>
      </c>
      <c r="C11" s="88">
        <v>41007</v>
      </c>
      <c r="D11" s="89" t="s">
        <v>132</v>
      </c>
      <c r="E11" s="89" t="s">
        <v>247</v>
      </c>
      <c r="F11" s="111">
        <f>1+2+2+1</f>
        <v>6</v>
      </c>
      <c r="G11" s="112">
        <f>2+1+2+2</f>
        <v>7</v>
      </c>
      <c r="H11" s="111">
        <f>2.5+3+3+4</f>
        <v>12.5</v>
      </c>
      <c r="I11" s="113">
        <f t="shared" si="0"/>
        <v>25.5</v>
      </c>
    </row>
    <row r="12" spans="1:15" s="15" customFormat="1" ht="80.099999999999994" customHeight="1" x14ac:dyDescent="0.25">
      <c r="A12" s="21"/>
      <c r="B12" s="94" t="s">
        <v>163</v>
      </c>
      <c r="C12" s="88">
        <v>40056</v>
      </c>
      <c r="D12" s="89" t="s">
        <v>132</v>
      </c>
      <c r="E12" s="89" t="s">
        <v>247</v>
      </c>
      <c r="F12" s="111">
        <f>1+2+2+1</f>
        <v>6</v>
      </c>
      <c r="G12" s="112">
        <f>0.5+1+1+1</f>
        <v>3.5</v>
      </c>
      <c r="H12" s="111">
        <f>1.5+5+5+4</f>
        <v>15.5</v>
      </c>
      <c r="I12" s="113">
        <f t="shared" si="0"/>
        <v>25</v>
      </c>
    </row>
    <row r="13" spans="1:15" s="15" customFormat="1" ht="80.099999999999994" customHeight="1" x14ac:dyDescent="0.3">
      <c r="A13" s="23"/>
      <c r="B13" s="94" t="s">
        <v>273</v>
      </c>
      <c r="C13" s="88">
        <v>39925</v>
      </c>
      <c r="D13" s="89" t="s">
        <v>31</v>
      </c>
      <c r="E13" s="89" t="s">
        <v>51</v>
      </c>
      <c r="F13" s="111">
        <f>2+2+1</f>
        <v>5</v>
      </c>
      <c r="G13" s="112">
        <f>2+2+2</f>
        <v>6</v>
      </c>
      <c r="H13" s="111">
        <f>4+0.5+4+4</f>
        <v>12.5</v>
      </c>
      <c r="I13" s="113">
        <f t="shared" si="0"/>
        <v>23.5</v>
      </c>
    </row>
    <row r="14" spans="1:15" s="15" customFormat="1" ht="80.099999999999994" customHeight="1" x14ac:dyDescent="0.25">
      <c r="A14" s="21"/>
      <c r="B14" s="94" t="s">
        <v>100</v>
      </c>
      <c r="C14" s="88">
        <v>40208</v>
      </c>
      <c r="D14" s="89" t="s">
        <v>45</v>
      </c>
      <c r="E14" s="89" t="s">
        <v>50</v>
      </c>
      <c r="F14" s="111">
        <f>2+1+1</f>
        <v>4</v>
      </c>
      <c r="G14" s="112">
        <f>3+2+3</f>
        <v>8</v>
      </c>
      <c r="H14" s="111">
        <f>0.5+5+2+3+0.5+0.5</f>
        <v>11.5</v>
      </c>
      <c r="I14" s="113">
        <f t="shared" si="0"/>
        <v>23.5</v>
      </c>
      <c r="J14" s="51"/>
      <c r="K14" s="51"/>
      <c r="L14" s="51"/>
      <c r="M14" s="51"/>
      <c r="N14" s="51"/>
      <c r="O14" s="51"/>
    </row>
    <row r="15" spans="1:15" s="15" customFormat="1" ht="80.099999999999994" customHeight="1" x14ac:dyDescent="0.25">
      <c r="A15" s="75"/>
      <c r="B15" s="89" t="s">
        <v>192</v>
      </c>
      <c r="C15" s="88">
        <v>40315</v>
      </c>
      <c r="D15" s="94" t="s">
        <v>37</v>
      </c>
      <c r="E15" s="87" t="s">
        <v>38</v>
      </c>
      <c r="F15" s="112">
        <f>2+2+1</f>
        <v>5</v>
      </c>
      <c r="G15" s="112">
        <f>1+2+2</f>
        <v>5</v>
      </c>
      <c r="H15" s="112">
        <f>5+5+3</f>
        <v>13</v>
      </c>
      <c r="I15" s="113">
        <f t="shared" si="0"/>
        <v>23</v>
      </c>
      <c r="J15" s="51"/>
      <c r="K15" s="51"/>
      <c r="L15" s="51"/>
      <c r="M15" s="51"/>
      <c r="N15" s="51"/>
      <c r="O15" s="51"/>
    </row>
    <row r="16" spans="1:15" s="15" customFormat="1" ht="80.099999999999994" customHeight="1" x14ac:dyDescent="0.25">
      <c r="A16" s="53"/>
      <c r="B16" s="94" t="s">
        <v>214</v>
      </c>
      <c r="C16" s="88">
        <v>40222</v>
      </c>
      <c r="D16" s="89" t="s">
        <v>40</v>
      </c>
      <c r="E16" s="89" t="s">
        <v>172</v>
      </c>
      <c r="F16" s="111">
        <f>2+1+1+1</f>
        <v>5</v>
      </c>
      <c r="G16" s="112">
        <f>1+0.5+0.5+2</f>
        <v>4</v>
      </c>
      <c r="H16" s="111">
        <f>5+2+0.5+2.5+4</f>
        <v>14</v>
      </c>
      <c r="I16" s="113">
        <f t="shared" si="0"/>
        <v>23</v>
      </c>
    </row>
    <row r="17" spans="1:15" s="15" customFormat="1" ht="80.099999999999994" customHeight="1" x14ac:dyDescent="0.25">
      <c r="A17" s="21"/>
      <c r="B17" s="94" t="s">
        <v>120</v>
      </c>
      <c r="C17" s="88">
        <v>40143</v>
      </c>
      <c r="D17" s="89" t="s">
        <v>45</v>
      </c>
      <c r="E17" s="94" t="s">
        <v>50</v>
      </c>
      <c r="F17" s="111">
        <f>2+2+1</f>
        <v>5</v>
      </c>
      <c r="G17" s="112">
        <f>2+2+2</f>
        <v>6</v>
      </c>
      <c r="H17" s="111">
        <f>3+5+4</f>
        <v>12</v>
      </c>
      <c r="I17" s="113">
        <f t="shared" si="0"/>
        <v>23</v>
      </c>
    </row>
    <row r="18" spans="1:15" s="15" customFormat="1" ht="80.099999999999994" customHeight="1" x14ac:dyDescent="0.25">
      <c r="A18" s="21"/>
      <c r="B18" s="94" t="s">
        <v>153</v>
      </c>
      <c r="C18" s="88">
        <v>40185</v>
      </c>
      <c r="D18" s="89" t="s">
        <v>132</v>
      </c>
      <c r="E18" s="89" t="s">
        <v>247</v>
      </c>
      <c r="F18" s="111">
        <f>2+2</f>
        <v>4</v>
      </c>
      <c r="G18" s="112">
        <f>3+3</f>
        <v>6</v>
      </c>
      <c r="H18" s="111">
        <f>0.5+5+5+0.5+0.5</f>
        <v>11.5</v>
      </c>
      <c r="I18" s="113">
        <f t="shared" si="0"/>
        <v>21.5</v>
      </c>
    </row>
    <row r="19" spans="1:15" s="15" customFormat="1" ht="80.099999999999994" customHeight="1" x14ac:dyDescent="0.25">
      <c r="A19" s="21"/>
      <c r="B19" s="94" t="s">
        <v>117</v>
      </c>
      <c r="C19" s="88">
        <v>40895</v>
      </c>
      <c r="D19" s="89" t="s">
        <v>45</v>
      </c>
      <c r="E19" s="94" t="s">
        <v>50</v>
      </c>
      <c r="F19" s="111">
        <f>2+1+1+1</f>
        <v>5</v>
      </c>
      <c r="G19" s="112">
        <f>2+0.5+2+0.5</f>
        <v>5</v>
      </c>
      <c r="H19" s="111">
        <f>3+2.5+3+2</f>
        <v>10.5</v>
      </c>
      <c r="I19" s="113">
        <f t="shared" si="0"/>
        <v>20.5</v>
      </c>
    </row>
    <row r="20" spans="1:15" s="15" customFormat="1" ht="80.099999999999994" customHeight="1" x14ac:dyDescent="0.25">
      <c r="A20" s="21"/>
      <c r="B20" s="94" t="s">
        <v>114</v>
      </c>
      <c r="C20" s="88">
        <v>40371</v>
      </c>
      <c r="D20" s="89" t="s">
        <v>197</v>
      </c>
      <c r="E20" s="94" t="s">
        <v>86</v>
      </c>
      <c r="F20" s="111">
        <f>2+1+1</f>
        <v>4</v>
      </c>
      <c r="G20" s="112">
        <f>1+2+1</f>
        <v>4</v>
      </c>
      <c r="H20" s="111">
        <f>0.5+0.5+0.5+3+3+5</f>
        <v>12.5</v>
      </c>
      <c r="I20" s="113">
        <f t="shared" si="0"/>
        <v>20.5</v>
      </c>
    </row>
    <row r="21" spans="1:15" s="15" customFormat="1" ht="80.099999999999994" customHeight="1" x14ac:dyDescent="0.3">
      <c r="A21" s="23"/>
      <c r="B21" s="94" t="s">
        <v>35</v>
      </c>
      <c r="C21" s="88">
        <v>40680</v>
      </c>
      <c r="D21" s="94" t="s">
        <v>36</v>
      </c>
      <c r="E21" s="96" t="s">
        <v>184</v>
      </c>
      <c r="F21" s="111">
        <f>2+1</f>
        <v>3</v>
      </c>
      <c r="G21" s="112">
        <f>5+5</f>
        <v>10</v>
      </c>
      <c r="H21" s="111">
        <f>3+4</f>
        <v>7</v>
      </c>
      <c r="I21" s="113">
        <f t="shared" si="0"/>
        <v>20</v>
      </c>
    </row>
    <row r="22" spans="1:15" s="15" customFormat="1" ht="80.099999999999994" customHeight="1" x14ac:dyDescent="0.3">
      <c r="A22" s="23"/>
      <c r="B22" s="94" t="s">
        <v>200</v>
      </c>
      <c r="C22" s="88">
        <v>40353</v>
      </c>
      <c r="D22" s="89" t="s">
        <v>40</v>
      </c>
      <c r="E22" s="94" t="s">
        <v>50</v>
      </c>
      <c r="F22" s="111">
        <f>2+1+1+1</f>
        <v>5</v>
      </c>
      <c r="G22" s="112">
        <f>1+0.5+1+0.5</f>
        <v>3</v>
      </c>
      <c r="H22" s="111">
        <f>3+1.5+5+2.5</f>
        <v>12</v>
      </c>
      <c r="I22" s="113">
        <f t="shared" si="0"/>
        <v>20</v>
      </c>
      <c r="J22" s="51"/>
      <c r="K22" s="51"/>
      <c r="L22" s="51"/>
      <c r="M22" s="51"/>
      <c r="N22" s="51"/>
      <c r="O22" s="51"/>
    </row>
    <row r="23" spans="1:15" s="15" customFormat="1" ht="80.099999999999994" customHeight="1" x14ac:dyDescent="0.25">
      <c r="A23" s="21"/>
      <c r="B23" s="94" t="s">
        <v>165</v>
      </c>
      <c r="C23" s="88">
        <v>40647</v>
      </c>
      <c r="D23" s="89" t="s">
        <v>132</v>
      </c>
      <c r="E23" s="89" t="s">
        <v>247</v>
      </c>
      <c r="F23" s="111">
        <f>1+2+2</f>
        <v>5</v>
      </c>
      <c r="G23" s="112">
        <f>2+2+2</f>
        <v>6</v>
      </c>
      <c r="H23" s="111">
        <f>2+3+3</f>
        <v>8</v>
      </c>
      <c r="I23" s="113">
        <f t="shared" si="0"/>
        <v>19</v>
      </c>
      <c r="J23" s="51"/>
      <c r="K23" s="51"/>
      <c r="L23" s="51"/>
      <c r="M23" s="51"/>
      <c r="N23" s="51"/>
      <c r="O23" s="51"/>
    </row>
    <row r="24" spans="1:15" s="31" customFormat="1" ht="80.099999999999994" customHeight="1" x14ac:dyDescent="0.25">
      <c r="A24" s="21"/>
      <c r="B24" s="94" t="s">
        <v>166</v>
      </c>
      <c r="C24" s="88">
        <v>40895</v>
      </c>
      <c r="D24" s="89" t="s">
        <v>132</v>
      </c>
      <c r="E24" s="89" t="s">
        <v>247</v>
      </c>
      <c r="F24" s="111">
        <f>1+2+2</f>
        <v>5</v>
      </c>
      <c r="G24" s="112">
        <f>2+2+2</f>
        <v>6</v>
      </c>
      <c r="H24" s="111">
        <f>2+3+3</f>
        <v>8</v>
      </c>
      <c r="I24" s="113">
        <f t="shared" si="0"/>
        <v>19</v>
      </c>
      <c r="J24" s="51"/>
      <c r="K24" s="51"/>
      <c r="L24" s="51"/>
      <c r="M24" s="51"/>
      <c r="N24" s="51"/>
      <c r="O24" s="51"/>
    </row>
    <row r="25" spans="1:15" s="31" customFormat="1" ht="80.099999999999994" customHeight="1" x14ac:dyDescent="0.25">
      <c r="A25" s="53"/>
      <c r="B25" s="94" t="s">
        <v>195</v>
      </c>
      <c r="C25" s="88">
        <v>40752</v>
      </c>
      <c r="D25" s="89" t="s">
        <v>37</v>
      </c>
      <c r="E25" s="94" t="s">
        <v>38</v>
      </c>
      <c r="F25" s="111">
        <f>2+2+1</f>
        <v>5</v>
      </c>
      <c r="G25" s="112">
        <f>1+1+1</f>
        <v>3</v>
      </c>
      <c r="H25" s="111">
        <f>3+4+4</f>
        <v>11</v>
      </c>
      <c r="I25" s="113">
        <f t="shared" si="0"/>
        <v>19</v>
      </c>
      <c r="J25" s="51"/>
      <c r="K25" s="51"/>
      <c r="L25" s="51"/>
      <c r="M25" s="51"/>
      <c r="N25" s="51"/>
      <c r="O25" s="51"/>
    </row>
    <row r="26" spans="1:15" s="15" customFormat="1" ht="80.099999999999994" customHeight="1" x14ac:dyDescent="0.25">
      <c r="A26" s="85"/>
      <c r="B26" s="101" t="s">
        <v>174</v>
      </c>
      <c r="C26" s="103">
        <v>39767</v>
      </c>
      <c r="D26" s="95" t="s">
        <v>37</v>
      </c>
      <c r="E26" s="95" t="s">
        <v>38</v>
      </c>
      <c r="F26" s="110">
        <f>2+1</f>
        <v>3</v>
      </c>
      <c r="G26" s="110">
        <f>3+3</f>
        <v>6</v>
      </c>
      <c r="H26" s="110">
        <f>5+4</f>
        <v>9</v>
      </c>
      <c r="I26" s="113">
        <f t="shared" si="0"/>
        <v>18</v>
      </c>
    </row>
    <row r="27" spans="1:15" s="15" customFormat="1" ht="80.099999999999994" customHeight="1" x14ac:dyDescent="0.25">
      <c r="A27" s="85"/>
      <c r="B27" s="101" t="s">
        <v>252</v>
      </c>
      <c r="C27" s="103">
        <v>41226</v>
      </c>
      <c r="D27" s="89" t="s">
        <v>36</v>
      </c>
      <c r="E27" s="94" t="s">
        <v>184</v>
      </c>
      <c r="F27" s="110">
        <f>2+1</f>
        <v>3</v>
      </c>
      <c r="G27" s="110">
        <f>1+5</f>
        <v>6</v>
      </c>
      <c r="H27" s="110">
        <f>5+3</f>
        <v>8</v>
      </c>
      <c r="I27" s="113">
        <f t="shared" si="0"/>
        <v>17</v>
      </c>
    </row>
    <row r="28" spans="1:15" s="15" customFormat="1" ht="80.099999999999994" customHeight="1" x14ac:dyDescent="0.25">
      <c r="A28" s="21"/>
      <c r="B28" s="94" t="s">
        <v>89</v>
      </c>
      <c r="C28" s="88">
        <v>40686</v>
      </c>
      <c r="D28" s="89" t="s">
        <v>31</v>
      </c>
      <c r="E28" s="89" t="s">
        <v>32</v>
      </c>
      <c r="F28" s="111">
        <f>2+1</f>
        <v>3</v>
      </c>
      <c r="G28" s="112">
        <f>3+3</f>
        <v>6</v>
      </c>
      <c r="H28" s="111">
        <f>4+3</f>
        <v>7</v>
      </c>
      <c r="I28" s="113">
        <f t="shared" si="0"/>
        <v>16</v>
      </c>
    </row>
    <row r="29" spans="1:15" s="15" customFormat="1" ht="80.099999999999994" customHeight="1" x14ac:dyDescent="0.25">
      <c r="A29" s="76"/>
      <c r="B29" s="87" t="s">
        <v>292</v>
      </c>
      <c r="C29" s="97">
        <v>41006</v>
      </c>
      <c r="D29" s="89" t="s">
        <v>31</v>
      </c>
      <c r="E29" s="94" t="s">
        <v>32</v>
      </c>
      <c r="F29" s="111">
        <f>2+1</f>
        <v>3</v>
      </c>
      <c r="G29" s="111">
        <f>2+1</f>
        <v>3</v>
      </c>
      <c r="H29" s="111">
        <f>5+5</f>
        <v>10</v>
      </c>
      <c r="I29" s="113">
        <f t="shared" si="0"/>
        <v>16</v>
      </c>
    </row>
    <row r="30" spans="1:15" s="15" customFormat="1" ht="80.099999999999994" customHeight="1" x14ac:dyDescent="0.25">
      <c r="A30" s="76"/>
      <c r="B30" s="87" t="s">
        <v>134</v>
      </c>
      <c r="C30" s="97">
        <v>41353</v>
      </c>
      <c r="D30" s="89" t="s">
        <v>36</v>
      </c>
      <c r="E30" s="89" t="s">
        <v>83</v>
      </c>
      <c r="F30" s="111">
        <f>1+2</f>
        <v>3</v>
      </c>
      <c r="G30" s="111">
        <f>2+3</f>
        <v>5</v>
      </c>
      <c r="H30" s="111">
        <f>2.5+4+0.5+0.5</f>
        <v>7.5</v>
      </c>
      <c r="I30" s="113">
        <f t="shared" si="0"/>
        <v>15.5</v>
      </c>
    </row>
    <row r="31" spans="1:15" s="15" customFormat="1" ht="80.099999999999994" customHeight="1" x14ac:dyDescent="0.25">
      <c r="A31" s="21"/>
      <c r="B31" s="94" t="s">
        <v>88</v>
      </c>
      <c r="C31" s="88">
        <v>40060</v>
      </c>
      <c r="D31" s="89" t="s">
        <v>45</v>
      </c>
      <c r="E31" s="89" t="s">
        <v>283</v>
      </c>
      <c r="F31" s="111">
        <f>2+1</f>
        <v>3</v>
      </c>
      <c r="G31" s="112">
        <f>2+2</f>
        <v>4</v>
      </c>
      <c r="H31" s="111">
        <f>4+4</f>
        <v>8</v>
      </c>
      <c r="I31" s="113">
        <f t="shared" si="0"/>
        <v>15</v>
      </c>
    </row>
    <row r="32" spans="1:15" s="59" customFormat="1" ht="81" customHeight="1" x14ac:dyDescent="0.3">
      <c r="A32" s="23"/>
      <c r="B32" s="89" t="s">
        <v>60</v>
      </c>
      <c r="C32" s="97">
        <v>40558</v>
      </c>
      <c r="D32" s="89" t="s">
        <v>197</v>
      </c>
      <c r="E32" s="89" t="s">
        <v>62</v>
      </c>
      <c r="F32" s="112">
        <f>2+1</f>
        <v>3</v>
      </c>
      <c r="G32" s="112">
        <f>1+1</f>
        <v>2</v>
      </c>
      <c r="H32" s="112">
        <f>0.5+0.5+0.5+3+0.5+5</f>
        <v>10</v>
      </c>
      <c r="I32" s="113">
        <f t="shared" si="0"/>
        <v>15</v>
      </c>
      <c r="J32" s="51"/>
      <c r="K32" s="51"/>
      <c r="L32" s="51"/>
      <c r="M32" s="51"/>
      <c r="N32" s="51"/>
      <c r="O32" s="51"/>
    </row>
    <row r="33" spans="1:15" s="15" customFormat="1" ht="80.099999999999994" customHeight="1" x14ac:dyDescent="0.25">
      <c r="A33" s="76"/>
      <c r="B33" s="89" t="s">
        <v>269</v>
      </c>
      <c r="C33" s="97">
        <v>40357</v>
      </c>
      <c r="D33" s="95" t="s">
        <v>31</v>
      </c>
      <c r="E33" s="95" t="s">
        <v>32</v>
      </c>
      <c r="F33" s="112">
        <f>2+1</f>
        <v>3</v>
      </c>
      <c r="G33" s="112">
        <f>2+2</f>
        <v>4</v>
      </c>
      <c r="H33" s="112">
        <f>3+5</f>
        <v>8</v>
      </c>
      <c r="I33" s="113">
        <f t="shared" si="0"/>
        <v>15</v>
      </c>
    </row>
    <row r="34" spans="1:15" s="33" customFormat="1" ht="80.099999999999994" customHeight="1" x14ac:dyDescent="0.3">
      <c r="A34" s="21"/>
      <c r="B34" s="94" t="s">
        <v>164</v>
      </c>
      <c r="C34" s="88">
        <v>40857</v>
      </c>
      <c r="D34" s="89" t="s">
        <v>132</v>
      </c>
      <c r="E34" s="89" t="s">
        <v>247</v>
      </c>
      <c r="F34" s="111">
        <f>1+2</f>
        <v>3</v>
      </c>
      <c r="G34" s="112">
        <f>2+2</f>
        <v>4</v>
      </c>
      <c r="H34" s="111">
        <f>2.5+0.5+4</f>
        <v>7</v>
      </c>
      <c r="I34" s="113">
        <f t="shared" ref="I34:I65" si="1">F34+G34+H34</f>
        <v>14</v>
      </c>
      <c r="J34" s="51"/>
      <c r="K34" s="51"/>
      <c r="L34" s="51"/>
      <c r="M34" s="51"/>
      <c r="N34" s="51"/>
      <c r="O34" s="51"/>
    </row>
    <row r="35" spans="1:15" s="15" customFormat="1" ht="78.599999999999994" customHeight="1" x14ac:dyDescent="0.25">
      <c r="A35" s="76"/>
      <c r="B35" s="87" t="s">
        <v>288</v>
      </c>
      <c r="C35" s="97">
        <v>41372</v>
      </c>
      <c r="D35" s="89" t="s">
        <v>132</v>
      </c>
      <c r="E35" s="89" t="s">
        <v>247</v>
      </c>
      <c r="F35" s="111">
        <f>2+1</f>
        <v>3</v>
      </c>
      <c r="G35" s="111">
        <f>1+1</f>
        <v>2</v>
      </c>
      <c r="H35" s="111">
        <f>4+5</f>
        <v>9</v>
      </c>
      <c r="I35" s="113">
        <f t="shared" si="1"/>
        <v>14</v>
      </c>
    </row>
    <row r="36" spans="1:15" s="15" customFormat="1" ht="80.099999999999994" customHeight="1" x14ac:dyDescent="0.25">
      <c r="A36" s="85"/>
      <c r="B36" s="101" t="s">
        <v>275</v>
      </c>
      <c r="C36" s="103">
        <v>41110</v>
      </c>
      <c r="D36" s="89" t="s">
        <v>36</v>
      </c>
      <c r="E36" s="94" t="s">
        <v>184</v>
      </c>
      <c r="F36" s="110">
        <f>2+1</f>
        <v>3</v>
      </c>
      <c r="G36" s="110">
        <f>2+2</f>
        <v>4</v>
      </c>
      <c r="H36" s="110">
        <f>5+1.5</f>
        <v>6.5</v>
      </c>
      <c r="I36" s="113">
        <f t="shared" si="1"/>
        <v>13.5</v>
      </c>
      <c r="J36" s="51"/>
      <c r="K36" s="51"/>
      <c r="L36" s="51"/>
      <c r="M36" s="51"/>
      <c r="N36" s="51"/>
      <c r="O36" s="51"/>
    </row>
    <row r="37" spans="1:15" s="15" customFormat="1" ht="80.099999999999994" customHeight="1" x14ac:dyDescent="0.25">
      <c r="A37" s="76"/>
      <c r="B37" s="94" t="s">
        <v>112</v>
      </c>
      <c r="C37" s="97">
        <v>41053</v>
      </c>
      <c r="D37" s="89" t="s">
        <v>168</v>
      </c>
      <c r="E37" s="94" t="s">
        <v>113</v>
      </c>
      <c r="F37" s="112">
        <f>1+1+0.5</f>
        <v>2.5</v>
      </c>
      <c r="G37" s="112">
        <f>2+2+0.5</f>
        <v>4.5</v>
      </c>
      <c r="H37" s="112">
        <f>2+2+1+0.5+0.5</f>
        <v>6</v>
      </c>
      <c r="I37" s="113">
        <f t="shared" si="1"/>
        <v>13</v>
      </c>
    </row>
    <row r="38" spans="1:15" s="15" customFormat="1" ht="80.099999999999994" customHeight="1" x14ac:dyDescent="0.25">
      <c r="A38" s="85"/>
      <c r="B38" s="101" t="s">
        <v>259</v>
      </c>
      <c r="C38" s="135">
        <v>40538</v>
      </c>
      <c r="D38" s="89" t="s">
        <v>40</v>
      </c>
      <c r="E38" s="89" t="s">
        <v>172</v>
      </c>
      <c r="F38" s="110">
        <f>2+1</f>
        <v>3</v>
      </c>
      <c r="G38" s="110">
        <f>1+1</f>
        <v>2</v>
      </c>
      <c r="H38" s="110">
        <f>0.5+3+4</f>
        <v>7.5</v>
      </c>
      <c r="I38" s="113">
        <f t="shared" si="1"/>
        <v>12.5</v>
      </c>
    </row>
    <row r="39" spans="1:15" s="15" customFormat="1" ht="80.099999999999994" customHeight="1" x14ac:dyDescent="0.25">
      <c r="A39" s="57"/>
      <c r="B39" s="94" t="s">
        <v>181</v>
      </c>
      <c r="C39" s="88">
        <v>40231</v>
      </c>
      <c r="D39" s="95" t="s">
        <v>31</v>
      </c>
      <c r="E39" s="95" t="s">
        <v>32</v>
      </c>
      <c r="F39" s="111">
        <f>2+1</f>
        <v>3</v>
      </c>
      <c r="G39" s="112">
        <f>1+1</f>
        <v>2</v>
      </c>
      <c r="H39" s="111">
        <f>4+3</f>
        <v>7</v>
      </c>
      <c r="I39" s="113">
        <f t="shared" si="1"/>
        <v>12</v>
      </c>
    </row>
    <row r="40" spans="1:15" s="15" customFormat="1" ht="80.099999999999994" customHeight="1" x14ac:dyDescent="0.25">
      <c r="A40" s="21"/>
      <c r="B40" s="94" t="s">
        <v>162</v>
      </c>
      <c r="C40" s="88">
        <v>41101</v>
      </c>
      <c r="D40" s="89" t="s">
        <v>132</v>
      </c>
      <c r="E40" s="89" t="s">
        <v>247</v>
      </c>
      <c r="F40" s="111">
        <f>1+1</f>
        <v>2</v>
      </c>
      <c r="G40" s="112">
        <f>2+1</f>
        <v>3</v>
      </c>
      <c r="H40" s="111">
        <f>2+0.5+0.5+4</f>
        <v>7</v>
      </c>
      <c r="I40" s="113">
        <f t="shared" si="1"/>
        <v>12</v>
      </c>
    </row>
    <row r="41" spans="1:15" s="15" customFormat="1" ht="80.099999999999994" customHeight="1" x14ac:dyDescent="0.25">
      <c r="A41" s="21"/>
      <c r="B41" s="94" t="s">
        <v>115</v>
      </c>
      <c r="C41" s="88">
        <v>40284</v>
      </c>
      <c r="D41" s="89" t="s">
        <v>57</v>
      </c>
      <c r="E41" s="89" t="s">
        <v>38</v>
      </c>
      <c r="F41" s="111">
        <f>2+1</f>
        <v>3</v>
      </c>
      <c r="G41" s="112">
        <f>1+0.5</f>
        <v>1.5</v>
      </c>
      <c r="H41" s="111">
        <f>4+0.5+2.5</f>
        <v>7</v>
      </c>
      <c r="I41" s="113">
        <f t="shared" si="1"/>
        <v>11.5</v>
      </c>
      <c r="J41" s="51"/>
      <c r="K41" s="51"/>
      <c r="L41" s="51"/>
      <c r="M41" s="51"/>
      <c r="N41" s="51"/>
      <c r="O41" s="51"/>
    </row>
    <row r="42" spans="1:15" s="15" customFormat="1" ht="80.099999999999994" customHeight="1" x14ac:dyDescent="0.25">
      <c r="A42" s="76"/>
      <c r="B42" s="87" t="s">
        <v>68</v>
      </c>
      <c r="C42" s="97">
        <v>39792</v>
      </c>
      <c r="D42" s="89" t="s">
        <v>40</v>
      </c>
      <c r="E42" s="94" t="s">
        <v>50</v>
      </c>
      <c r="F42" s="111">
        <f>2</f>
        <v>2</v>
      </c>
      <c r="G42" s="111">
        <f>5</f>
        <v>5</v>
      </c>
      <c r="H42" s="111">
        <f>0.5+3+0.5</f>
        <v>4</v>
      </c>
      <c r="I42" s="113">
        <f t="shared" si="1"/>
        <v>11</v>
      </c>
      <c r="J42" s="51"/>
      <c r="K42" s="51"/>
      <c r="L42" s="51"/>
      <c r="M42" s="51"/>
      <c r="N42" s="51"/>
      <c r="O42" s="51"/>
    </row>
    <row r="43" spans="1:15" s="15" customFormat="1" ht="80.099999999999994" customHeight="1" x14ac:dyDescent="0.25">
      <c r="A43" s="76"/>
      <c r="B43" s="87" t="s">
        <v>136</v>
      </c>
      <c r="C43" s="97">
        <v>41262</v>
      </c>
      <c r="D43" s="89" t="s">
        <v>132</v>
      </c>
      <c r="E43" s="89" t="s">
        <v>247</v>
      </c>
      <c r="F43" s="111">
        <f>1+1</f>
        <v>2</v>
      </c>
      <c r="G43" s="111">
        <f>2+1</f>
        <v>3</v>
      </c>
      <c r="H43" s="111">
        <f>2+0.5+3</f>
        <v>5.5</v>
      </c>
      <c r="I43" s="113">
        <f t="shared" si="1"/>
        <v>10.5</v>
      </c>
    </row>
    <row r="44" spans="1:15" s="15" customFormat="1" ht="80.45" customHeight="1" x14ac:dyDescent="0.25">
      <c r="A44" s="21"/>
      <c r="B44" s="94" t="s">
        <v>124</v>
      </c>
      <c r="C44" s="88">
        <v>40184</v>
      </c>
      <c r="D44" s="89" t="s">
        <v>31</v>
      </c>
      <c r="E44" s="89" t="s">
        <v>51</v>
      </c>
      <c r="F44" s="111">
        <f>2</f>
        <v>2</v>
      </c>
      <c r="G44" s="112">
        <f>5</f>
        <v>5</v>
      </c>
      <c r="H44" s="111">
        <f>3</f>
        <v>3</v>
      </c>
      <c r="I44" s="113">
        <f t="shared" si="1"/>
        <v>10</v>
      </c>
    </row>
    <row r="45" spans="1:15" s="15" customFormat="1" ht="80.099999999999994" customHeight="1" x14ac:dyDescent="0.25">
      <c r="A45" s="77"/>
      <c r="B45" s="87" t="s">
        <v>183</v>
      </c>
      <c r="C45" s="88">
        <v>41447</v>
      </c>
      <c r="D45" s="96" t="s">
        <v>36</v>
      </c>
      <c r="E45" s="36" t="s">
        <v>184</v>
      </c>
      <c r="F45" s="90">
        <f>2</f>
        <v>2</v>
      </c>
      <c r="G45" s="90">
        <f>2</f>
        <v>2</v>
      </c>
      <c r="H45" s="90">
        <f>5+0.5</f>
        <v>5.5</v>
      </c>
      <c r="I45" s="81">
        <f t="shared" si="1"/>
        <v>9.5</v>
      </c>
    </row>
    <row r="46" spans="1:15" s="15" customFormat="1" ht="80.099999999999994" customHeight="1" x14ac:dyDescent="0.25">
      <c r="A46" s="21"/>
      <c r="B46" s="94" t="s">
        <v>96</v>
      </c>
      <c r="C46" s="88">
        <v>40058</v>
      </c>
      <c r="D46" s="89" t="s">
        <v>36</v>
      </c>
      <c r="E46" s="89" t="s">
        <v>83</v>
      </c>
      <c r="F46" s="111">
        <f>1</f>
        <v>1</v>
      </c>
      <c r="G46" s="112">
        <f>2</f>
        <v>2</v>
      </c>
      <c r="H46" s="111">
        <f>0.5+0.5+0.5+5</f>
        <v>6.5</v>
      </c>
      <c r="I46" s="113">
        <f t="shared" si="1"/>
        <v>9.5</v>
      </c>
    </row>
    <row r="47" spans="1:15" s="15" customFormat="1" ht="80.099999999999994" customHeight="1" x14ac:dyDescent="0.3">
      <c r="A47" s="23"/>
      <c r="B47" s="89" t="s">
        <v>49</v>
      </c>
      <c r="C47" s="97">
        <v>39817</v>
      </c>
      <c r="D47" s="89" t="s">
        <v>45</v>
      </c>
      <c r="E47" s="94" t="s">
        <v>50</v>
      </c>
      <c r="F47" s="112">
        <f>2</f>
        <v>2</v>
      </c>
      <c r="G47" s="112">
        <f>2</f>
        <v>2</v>
      </c>
      <c r="H47" s="112">
        <f>5</f>
        <v>5</v>
      </c>
      <c r="I47" s="113">
        <f t="shared" si="1"/>
        <v>9</v>
      </c>
      <c r="J47" s="51"/>
      <c r="K47" s="51"/>
      <c r="L47" s="51"/>
      <c r="M47" s="51"/>
      <c r="N47" s="51"/>
      <c r="O47" s="51"/>
    </row>
    <row r="48" spans="1:15" s="15" customFormat="1" ht="80.099999999999994" customHeight="1" x14ac:dyDescent="0.25">
      <c r="A48" s="21"/>
      <c r="B48" s="94" t="s">
        <v>199</v>
      </c>
      <c r="C48" s="88">
        <v>40398</v>
      </c>
      <c r="D48" s="89" t="s">
        <v>37</v>
      </c>
      <c r="E48" s="89" t="s">
        <v>38</v>
      </c>
      <c r="F48" s="111">
        <f>2</f>
        <v>2</v>
      </c>
      <c r="G48" s="112">
        <f>2</f>
        <v>2</v>
      </c>
      <c r="H48" s="111">
        <f>4+0.5+0.5</f>
        <v>5</v>
      </c>
      <c r="I48" s="113">
        <f t="shared" si="1"/>
        <v>9</v>
      </c>
    </row>
    <row r="49" spans="1:15" s="15" customFormat="1" ht="80.099999999999994" customHeight="1" x14ac:dyDescent="0.25">
      <c r="A49" s="76"/>
      <c r="B49" s="87" t="s">
        <v>289</v>
      </c>
      <c r="C49" s="97">
        <v>41401</v>
      </c>
      <c r="D49" s="89" t="s">
        <v>132</v>
      </c>
      <c r="E49" s="89" t="s">
        <v>247</v>
      </c>
      <c r="F49" s="111">
        <f>2+1</f>
        <v>3</v>
      </c>
      <c r="G49" s="111">
        <f>1+0.5</f>
        <v>1.5</v>
      </c>
      <c r="H49" s="111">
        <f>3+1.5</f>
        <v>4.5</v>
      </c>
      <c r="I49" s="113">
        <f t="shared" si="1"/>
        <v>9</v>
      </c>
    </row>
    <row r="50" spans="1:15" s="15" customFormat="1" ht="80.099999999999994" customHeight="1" x14ac:dyDescent="0.25">
      <c r="A50" s="75"/>
      <c r="B50" s="94" t="s">
        <v>173</v>
      </c>
      <c r="C50" s="88">
        <v>40591</v>
      </c>
      <c r="D50" s="89" t="s">
        <v>197</v>
      </c>
      <c r="E50" s="96" t="s">
        <v>28</v>
      </c>
      <c r="F50" s="112">
        <f>1</f>
        <v>1</v>
      </c>
      <c r="G50" s="112">
        <f>2</f>
        <v>2</v>
      </c>
      <c r="H50" s="112">
        <f>0.5+0.5+5</f>
        <v>6</v>
      </c>
      <c r="I50" s="113">
        <f t="shared" si="1"/>
        <v>9</v>
      </c>
      <c r="J50" s="51"/>
      <c r="K50" s="51"/>
      <c r="L50" s="51"/>
      <c r="M50" s="51"/>
      <c r="N50" s="51"/>
      <c r="O50" s="51"/>
    </row>
    <row r="51" spans="1:15" s="15" customFormat="1" ht="80.099999999999994" customHeight="1" x14ac:dyDescent="0.25">
      <c r="A51" s="85"/>
      <c r="B51" s="101" t="s">
        <v>254</v>
      </c>
      <c r="C51" s="103">
        <v>40585</v>
      </c>
      <c r="D51" s="89" t="s">
        <v>36</v>
      </c>
      <c r="E51" s="94" t="s">
        <v>184</v>
      </c>
      <c r="F51" s="110">
        <f>2</f>
        <v>2</v>
      </c>
      <c r="G51" s="110">
        <f>1</f>
        <v>1</v>
      </c>
      <c r="H51" s="110">
        <f>5+0.5</f>
        <v>5.5</v>
      </c>
      <c r="I51" s="113">
        <f t="shared" si="1"/>
        <v>8.5</v>
      </c>
    </row>
    <row r="52" spans="1:15" s="15" customFormat="1" ht="80.099999999999994" customHeight="1" x14ac:dyDescent="0.25">
      <c r="A52" s="21"/>
      <c r="B52" s="94" t="s">
        <v>94</v>
      </c>
      <c r="C52" s="88">
        <v>40083</v>
      </c>
      <c r="D52" s="89" t="s">
        <v>98</v>
      </c>
      <c r="E52" s="89" t="s">
        <v>99</v>
      </c>
      <c r="F52" s="111">
        <f>2</f>
        <v>2</v>
      </c>
      <c r="G52" s="112">
        <f>2</f>
        <v>2</v>
      </c>
      <c r="H52" s="111">
        <f>0.5+3+0.5+0.5</f>
        <v>4.5</v>
      </c>
      <c r="I52" s="113">
        <f t="shared" si="1"/>
        <v>8.5</v>
      </c>
    </row>
    <row r="53" spans="1:15" s="15" customFormat="1" ht="80.099999999999994" customHeight="1" x14ac:dyDescent="0.25">
      <c r="A53" s="66"/>
      <c r="B53" s="106" t="s">
        <v>233</v>
      </c>
      <c r="C53" s="97">
        <v>41132</v>
      </c>
      <c r="D53" s="89" t="s">
        <v>168</v>
      </c>
      <c r="E53" s="94" t="s">
        <v>113</v>
      </c>
      <c r="F53" s="112">
        <f>1+0.5</f>
        <v>1.5</v>
      </c>
      <c r="G53" s="112">
        <f>2+0.5</f>
        <v>2.5</v>
      </c>
      <c r="H53" s="112">
        <f>2.5+0.5+0.5+1</f>
        <v>4.5</v>
      </c>
      <c r="I53" s="113">
        <f t="shared" si="1"/>
        <v>8.5</v>
      </c>
    </row>
    <row r="54" spans="1:15" s="15" customFormat="1" ht="80.099999999999994" customHeight="1" x14ac:dyDescent="0.25">
      <c r="A54" s="21"/>
      <c r="B54" s="94" t="s">
        <v>128</v>
      </c>
      <c r="C54" s="88">
        <v>40579</v>
      </c>
      <c r="D54" s="89" t="s">
        <v>36</v>
      </c>
      <c r="E54" s="89" t="s">
        <v>83</v>
      </c>
      <c r="F54" s="111">
        <f>2</f>
        <v>2</v>
      </c>
      <c r="G54" s="112">
        <f>3</f>
        <v>3</v>
      </c>
      <c r="H54" s="111">
        <f>3</f>
        <v>3</v>
      </c>
      <c r="I54" s="113">
        <f t="shared" si="1"/>
        <v>8</v>
      </c>
    </row>
    <row r="55" spans="1:15" s="15" customFormat="1" ht="80.099999999999994" customHeight="1" x14ac:dyDescent="0.25">
      <c r="A55" s="21"/>
      <c r="B55" s="94" t="s">
        <v>143</v>
      </c>
      <c r="C55" s="88">
        <v>40193</v>
      </c>
      <c r="D55" s="89" t="s">
        <v>132</v>
      </c>
      <c r="E55" s="89" t="s">
        <v>184</v>
      </c>
      <c r="F55" s="111">
        <f>2</f>
        <v>2</v>
      </c>
      <c r="G55" s="112">
        <f>2</f>
        <v>2</v>
      </c>
      <c r="H55" s="111">
        <f>4</f>
        <v>4</v>
      </c>
      <c r="I55" s="113">
        <f t="shared" si="1"/>
        <v>8</v>
      </c>
    </row>
    <row r="56" spans="1:15" s="15" customFormat="1" ht="80.099999999999994" customHeight="1" x14ac:dyDescent="0.25">
      <c r="A56" s="76"/>
      <c r="B56" s="87" t="s">
        <v>287</v>
      </c>
      <c r="C56" s="97">
        <v>41231</v>
      </c>
      <c r="D56" s="89" t="s">
        <v>31</v>
      </c>
      <c r="E56" s="94" t="s">
        <v>32</v>
      </c>
      <c r="F56" s="111">
        <f>2</f>
        <v>2</v>
      </c>
      <c r="G56" s="111">
        <f>1</f>
        <v>1</v>
      </c>
      <c r="H56" s="111">
        <f>5</f>
        <v>5</v>
      </c>
      <c r="I56" s="113">
        <f t="shared" si="1"/>
        <v>8</v>
      </c>
    </row>
    <row r="57" spans="1:15" s="15" customFormat="1" ht="80.099999999999994" customHeight="1" x14ac:dyDescent="0.25">
      <c r="A57" s="85"/>
      <c r="B57" s="101" t="s">
        <v>253</v>
      </c>
      <c r="C57" s="103">
        <v>41334</v>
      </c>
      <c r="D57" s="89" t="s">
        <v>40</v>
      </c>
      <c r="E57" s="94" t="s">
        <v>44</v>
      </c>
      <c r="F57" s="110">
        <f>2</f>
        <v>2</v>
      </c>
      <c r="G57" s="110">
        <f>1</f>
        <v>1</v>
      </c>
      <c r="H57" s="110">
        <f>4+0.5</f>
        <v>4.5</v>
      </c>
      <c r="I57" s="113">
        <f t="shared" si="1"/>
        <v>7.5</v>
      </c>
      <c r="J57" s="51"/>
      <c r="K57" s="51"/>
      <c r="L57" s="51"/>
      <c r="M57" s="51"/>
      <c r="N57" s="51"/>
      <c r="O57" s="51"/>
    </row>
    <row r="58" spans="1:15" s="15" customFormat="1" ht="80.099999999999994" customHeight="1" x14ac:dyDescent="0.25">
      <c r="A58" s="85"/>
      <c r="B58" s="101" t="s">
        <v>202</v>
      </c>
      <c r="C58" s="103">
        <v>39735</v>
      </c>
      <c r="D58" s="89" t="s">
        <v>36</v>
      </c>
      <c r="E58" s="94" t="s">
        <v>184</v>
      </c>
      <c r="F58" s="110">
        <f>2</f>
        <v>2</v>
      </c>
      <c r="G58" s="110">
        <f>1</f>
        <v>1</v>
      </c>
      <c r="H58" s="110">
        <f>4+0.5</f>
        <v>4.5</v>
      </c>
      <c r="I58" s="113">
        <f t="shared" si="1"/>
        <v>7.5</v>
      </c>
    </row>
    <row r="59" spans="1:15" s="15" customFormat="1" ht="80.099999999999994" customHeight="1" x14ac:dyDescent="0.25">
      <c r="A59" s="53"/>
      <c r="B59" s="94" t="s">
        <v>188</v>
      </c>
      <c r="C59" s="88">
        <v>40703</v>
      </c>
      <c r="D59" s="89" t="s">
        <v>40</v>
      </c>
      <c r="E59" s="94" t="s">
        <v>50</v>
      </c>
      <c r="F59" s="111">
        <f>1</f>
        <v>1</v>
      </c>
      <c r="G59" s="112">
        <f>1</f>
        <v>1</v>
      </c>
      <c r="H59" s="111">
        <f>0.5+5</f>
        <v>5.5</v>
      </c>
      <c r="I59" s="113">
        <f t="shared" si="1"/>
        <v>7.5</v>
      </c>
    </row>
    <row r="60" spans="1:15" s="15" customFormat="1" ht="80.099999999999994" customHeight="1" x14ac:dyDescent="0.25">
      <c r="A60" s="76"/>
      <c r="B60" s="98" t="s">
        <v>135</v>
      </c>
      <c r="C60" s="47">
        <v>41437</v>
      </c>
      <c r="D60" s="89" t="s">
        <v>168</v>
      </c>
      <c r="E60" s="89" t="s">
        <v>113</v>
      </c>
      <c r="F60" s="111">
        <f>1+0.5</f>
        <v>1.5</v>
      </c>
      <c r="G60" s="111">
        <f>2+0.5</f>
        <v>2.5</v>
      </c>
      <c r="H60" s="111">
        <f>2+1+0.5</f>
        <v>3.5</v>
      </c>
      <c r="I60" s="113">
        <f t="shared" si="1"/>
        <v>7.5</v>
      </c>
      <c r="J60" s="51"/>
      <c r="K60" s="51"/>
      <c r="L60" s="51"/>
      <c r="M60" s="51"/>
      <c r="N60" s="51"/>
      <c r="O60" s="51"/>
    </row>
    <row r="61" spans="1:15" s="15" customFormat="1" ht="80.099999999999994" customHeight="1" x14ac:dyDescent="0.25">
      <c r="A61" s="66"/>
      <c r="B61" s="109" t="s">
        <v>230</v>
      </c>
      <c r="C61" s="47">
        <v>40288</v>
      </c>
      <c r="D61" s="94" t="s">
        <v>231</v>
      </c>
      <c r="E61" s="89" t="s">
        <v>232</v>
      </c>
      <c r="F61" s="111">
        <f>1+1</f>
        <v>2</v>
      </c>
      <c r="G61" s="112">
        <f>0.5+0.5</f>
        <v>1</v>
      </c>
      <c r="H61" s="111">
        <f>2+1.5</f>
        <v>3.5</v>
      </c>
      <c r="I61" s="113">
        <f t="shared" si="1"/>
        <v>6.5</v>
      </c>
    </row>
    <row r="62" spans="1:15" s="15" customFormat="1" ht="80.099999999999994" customHeight="1" x14ac:dyDescent="0.25">
      <c r="A62" s="76"/>
      <c r="B62" s="98" t="s">
        <v>291</v>
      </c>
      <c r="C62" s="47">
        <v>40589</v>
      </c>
      <c r="D62" s="89" t="s">
        <v>31</v>
      </c>
      <c r="E62" s="94" t="s">
        <v>32</v>
      </c>
      <c r="F62" s="111">
        <f>2</f>
        <v>2</v>
      </c>
      <c r="G62" s="111">
        <f>1</f>
        <v>1</v>
      </c>
      <c r="H62" s="111">
        <f>3+0.5</f>
        <v>3.5</v>
      </c>
      <c r="I62" s="113">
        <f t="shared" si="1"/>
        <v>6.5</v>
      </c>
      <c r="J62" s="58"/>
      <c r="K62" s="58"/>
      <c r="L62" s="58"/>
      <c r="M62" s="58"/>
      <c r="N62" s="58"/>
      <c r="O62" s="58"/>
    </row>
    <row r="63" spans="1:15" s="15" customFormat="1" ht="80.099999999999994" customHeight="1" x14ac:dyDescent="0.25">
      <c r="A63" s="76"/>
      <c r="B63" s="71" t="s">
        <v>111</v>
      </c>
      <c r="C63" s="47">
        <v>41402</v>
      </c>
      <c r="D63" s="89" t="s">
        <v>197</v>
      </c>
      <c r="E63" s="89" t="s">
        <v>86</v>
      </c>
      <c r="F63" s="112">
        <f>1</f>
        <v>1</v>
      </c>
      <c r="G63" s="112">
        <f>1</f>
        <v>1</v>
      </c>
      <c r="H63" s="112">
        <f>0.5+4</f>
        <v>4.5</v>
      </c>
      <c r="I63" s="113">
        <f t="shared" si="1"/>
        <v>6.5</v>
      </c>
    </row>
    <row r="64" spans="1:15" s="15" customFormat="1" ht="80.099999999999994" customHeight="1" x14ac:dyDescent="0.25">
      <c r="A64" s="21"/>
      <c r="B64" s="41" t="s">
        <v>148</v>
      </c>
      <c r="C64" s="91">
        <v>40136</v>
      </c>
      <c r="D64" s="89" t="s">
        <v>36</v>
      </c>
      <c r="E64" s="89" t="s">
        <v>71</v>
      </c>
      <c r="F64" s="111">
        <f>1</f>
        <v>1</v>
      </c>
      <c r="G64" s="112">
        <f>2</f>
        <v>2</v>
      </c>
      <c r="H64" s="111">
        <f>0.5+2.5</f>
        <v>3</v>
      </c>
      <c r="I64" s="113">
        <f t="shared" si="1"/>
        <v>6</v>
      </c>
    </row>
    <row r="65" spans="1:15" s="15" customFormat="1" ht="80.099999999999994" customHeight="1" x14ac:dyDescent="0.25">
      <c r="A65" s="66"/>
      <c r="B65" s="109" t="s">
        <v>208</v>
      </c>
      <c r="C65" s="91">
        <v>41541</v>
      </c>
      <c r="D65" s="89" t="s">
        <v>57</v>
      </c>
      <c r="E65" s="89" t="s">
        <v>38</v>
      </c>
      <c r="F65" s="112">
        <f>1</f>
        <v>1</v>
      </c>
      <c r="G65" s="112">
        <f>1</f>
        <v>1</v>
      </c>
      <c r="H65" s="112">
        <f>0.5+0.5+3</f>
        <v>4</v>
      </c>
      <c r="I65" s="113">
        <f t="shared" si="1"/>
        <v>6</v>
      </c>
    </row>
    <row r="66" spans="1:15" s="15" customFormat="1" ht="80.099999999999994" customHeight="1" x14ac:dyDescent="0.25">
      <c r="A66" s="77"/>
      <c r="B66" s="41" t="s">
        <v>189</v>
      </c>
      <c r="C66" s="91">
        <v>40874</v>
      </c>
      <c r="D66" s="89" t="s">
        <v>36</v>
      </c>
      <c r="E66" s="89" t="s">
        <v>184</v>
      </c>
      <c r="F66" s="112">
        <f>1</f>
        <v>1</v>
      </c>
      <c r="G66" s="112">
        <f>2</f>
        <v>2</v>
      </c>
      <c r="H66" s="112">
        <f>0.5+2.5</f>
        <v>3</v>
      </c>
      <c r="I66" s="113">
        <f t="shared" ref="I66:I97" si="2">F66+G66+H66</f>
        <v>6</v>
      </c>
    </row>
    <row r="67" spans="1:15" s="15" customFormat="1" ht="80.099999999999994" customHeight="1" x14ac:dyDescent="0.25">
      <c r="A67" s="21"/>
      <c r="B67" s="41" t="s">
        <v>149</v>
      </c>
      <c r="C67" s="91">
        <v>40069</v>
      </c>
      <c r="D67" s="89" t="s">
        <v>36</v>
      </c>
      <c r="E67" s="89" t="s">
        <v>71</v>
      </c>
      <c r="F67" s="111">
        <f>1</f>
        <v>1</v>
      </c>
      <c r="G67" s="112">
        <f>2</f>
        <v>2</v>
      </c>
      <c r="H67" s="111">
        <f>2.5</f>
        <v>2.5</v>
      </c>
      <c r="I67" s="113">
        <f t="shared" si="2"/>
        <v>5.5</v>
      </c>
      <c r="J67" s="51"/>
      <c r="K67" s="51"/>
      <c r="L67" s="51"/>
      <c r="M67" s="51"/>
      <c r="N67" s="51"/>
      <c r="O67" s="51"/>
    </row>
    <row r="68" spans="1:15" s="15" customFormat="1" ht="80.099999999999994" customHeight="1" x14ac:dyDescent="0.25">
      <c r="A68" s="21"/>
      <c r="B68" s="41" t="s">
        <v>123</v>
      </c>
      <c r="C68" s="91">
        <v>40896</v>
      </c>
      <c r="D68" s="89" t="s">
        <v>45</v>
      </c>
      <c r="E68" s="92" t="s">
        <v>44</v>
      </c>
      <c r="F68" s="111">
        <f>1</f>
        <v>1</v>
      </c>
      <c r="G68" s="112">
        <f>1.5</f>
        <v>1.5</v>
      </c>
      <c r="H68" s="111">
        <f>0.5+1.5+0.5+0.5</f>
        <v>3</v>
      </c>
      <c r="I68" s="113">
        <f t="shared" si="2"/>
        <v>5.5</v>
      </c>
      <c r="J68" s="51"/>
      <c r="K68" s="51"/>
      <c r="L68" s="51"/>
      <c r="M68" s="51"/>
      <c r="N68" s="51"/>
      <c r="O68" s="51"/>
    </row>
    <row r="69" spans="1:15" s="15" customFormat="1" ht="80.099999999999994" customHeight="1" x14ac:dyDescent="0.3">
      <c r="A69" s="23"/>
      <c r="B69" s="41" t="s">
        <v>41</v>
      </c>
      <c r="C69" s="91">
        <v>39868</v>
      </c>
      <c r="D69" s="94" t="s">
        <v>36</v>
      </c>
      <c r="E69" s="94" t="s">
        <v>39</v>
      </c>
      <c r="F69" s="112">
        <f>1</f>
        <v>1</v>
      </c>
      <c r="G69" s="112">
        <f>2</f>
        <v>2</v>
      </c>
      <c r="H69" s="112">
        <f>0.5+2</f>
        <v>2.5</v>
      </c>
      <c r="I69" s="113">
        <f t="shared" si="2"/>
        <v>5.5</v>
      </c>
    </row>
    <row r="70" spans="1:15" s="15" customFormat="1" ht="80.099999999999994" customHeight="1" x14ac:dyDescent="0.25">
      <c r="A70" s="21"/>
      <c r="B70" s="41" t="s">
        <v>167</v>
      </c>
      <c r="C70" s="91">
        <v>40395</v>
      </c>
      <c r="D70" s="89" t="s">
        <v>168</v>
      </c>
      <c r="E70" s="89" t="s">
        <v>113</v>
      </c>
      <c r="F70" s="112">
        <f>1</f>
        <v>1</v>
      </c>
      <c r="G70" s="112">
        <f>2</f>
        <v>2</v>
      </c>
      <c r="H70" s="112">
        <f>1.5+0.5</f>
        <v>2</v>
      </c>
      <c r="I70" s="113">
        <f t="shared" si="2"/>
        <v>5</v>
      </c>
    </row>
    <row r="71" spans="1:15" s="15" customFormat="1" ht="80.099999999999994" customHeight="1" x14ac:dyDescent="0.3">
      <c r="A71" s="23"/>
      <c r="B71" s="41" t="s">
        <v>79</v>
      </c>
      <c r="C71" s="91">
        <v>40426</v>
      </c>
      <c r="D71" s="92" t="s">
        <v>45</v>
      </c>
      <c r="E71" s="41" t="s">
        <v>44</v>
      </c>
      <c r="F71" s="112">
        <f>1</f>
        <v>1</v>
      </c>
      <c r="G71" s="112">
        <f>1.5</f>
        <v>1.5</v>
      </c>
      <c r="H71" s="112">
        <f>2+0.5</f>
        <v>2.5</v>
      </c>
      <c r="I71" s="113">
        <f t="shared" si="2"/>
        <v>5</v>
      </c>
    </row>
    <row r="72" spans="1:15" s="15" customFormat="1" ht="80.099999999999994" customHeight="1" x14ac:dyDescent="0.25">
      <c r="A72" s="85"/>
      <c r="B72" s="132" t="s">
        <v>261</v>
      </c>
      <c r="C72" s="133">
        <v>40455</v>
      </c>
      <c r="D72" s="89" t="s">
        <v>36</v>
      </c>
      <c r="E72" s="89" t="s">
        <v>83</v>
      </c>
      <c r="F72" s="110">
        <f>1</f>
        <v>1</v>
      </c>
      <c r="G72" s="110">
        <f>1</f>
        <v>1</v>
      </c>
      <c r="H72" s="110">
        <f>3</f>
        <v>3</v>
      </c>
      <c r="I72" s="113">
        <f t="shared" si="2"/>
        <v>5</v>
      </c>
    </row>
    <row r="73" spans="1:15" s="15" customFormat="1" ht="80.099999999999994" customHeight="1" x14ac:dyDescent="0.25">
      <c r="A73" s="21"/>
      <c r="B73" s="41" t="s">
        <v>154</v>
      </c>
      <c r="C73" s="91">
        <v>40149</v>
      </c>
      <c r="D73" s="89" t="s">
        <v>57</v>
      </c>
      <c r="E73" s="89" t="s">
        <v>38</v>
      </c>
      <c r="F73" s="111">
        <f>1</f>
        <v>1</v>
      </c>
      <c r="G73" s="112">
        <f>1</f>
        <v>1</v>
      </c>
      <c r="H73" s="111">
        <f>3</f>
        <v>3</v>
      </c>
      <c r="I73" s="113">
        <f t="shared" si="2"/>
        <v>5</v>
      </c>
    </row>
    <row r="74" spans="1:15" s="15" customFormat="1" ht="80.099999999999994" customHeight="1" x14ac:dyDescent="0.25">
      <c r="A74" s="76"/>
      <c r="B74" s="71" t="s">
        <v>306</v>
      </c>
      <c r="C74" s="47">
        <v>41171</v>
      </c>
      <c r="D74" s="89" t="s">
        <v>36</v>
      </c>
      <c r="E74" s="94" t="s">
        <v>184</v>
      </c>
      <c r="F74" s="112">
        <f>1</f>
        <v>1</v>
      </c>
      <c r="G74" s="112">
        <f>1</f>
        <v>1</v>
      </c>
      <c r="H74" s="112">
        <f>3</f>
        <v>3</v>
      </c>
      <c r="I74" s="113">
        <f t="shared" si="2"/>
        <v>5</v>
      </c>
    </row>
    <row r="75" spans="1:15" s="15" customFormat="1" ht="80.099999999999994" customHeight="1" x14ac:dyDescent="0.25">
      <c r="A75" s="76"/>
      <c r="B75" s="71" t="s">
        <v>161</v>
      </c>
      <c r="C75" s="47">
        <v>41502</v>
      </c>
      <c r="D75" s="89" t="s">
        <v>168</v>
      </c>
      <c r="E75" s="89" t="s">
        <v>113</v>
      </c>
      <c r="F75" s="112">
        <f>1+0.5</f>
        <v>1.5</v>
      </c>
      <c r="G75" s="112">
        <f>0.5+0</f>
        <v>0.5</v>
      </c>
      <c r="H75" s="112">
        <f>2+0+0.5+0.5</f>
        <v>3</v>
      </c>
      <c r="I75" s="113">
        <f t="shared" si="2"/>
        <v>5</v>
      </c>
    </row>
    <row r="76" spans="1:15" s="15" customFormat="1" ht="80.099999999999994" customHeight="1" x14ac:dyDescent="0.25">
      <c r="A76" s="66"/>
      <c r="B76" s="109" t="s">
        <v>234</v>
      </c>
      <c r="C76" s="91">
        <v>40448</v>
      </c>
      <c r="D76" s="89" t="s">
        <v>36</v>
      </c>
      <c r="E76" s="89" t="s">
        <v>71</v>
      </c>
      <c r="F76" s="112">
        <f>1</f>
        <v>1</v>
      </c>
      <c r="G76" s="112">
        <f>2</f>
        <v>2</v>
      </c>
      <c r="H76" s="112">
        <f>1.5</f>
        <v>1.5</v>
      </c>
      <c r="I76" s="113">
        <f t="shared" si="2"/>
        <v>4.5</v>
      </c>
      <c r="J76" s="51"/>
      <c r="K76" s="51"/>
      <c r="L76" s="51"/>
      <c r="M76" s="51"/>
      <c r="N76" s="51"/>
      <c r="O76" s="51"/>
    </row>
    <row r="77" spans="1:15" s="15" customFormat="1" ht="80.099999999999994" customHeight="1" x14ac:dyDescent="0.25">
      <c r="A77" s="21"/>
      <c r="B77" s="41" t="s">
        <v>151</v>
      </c>
      <c r="C77" s="91">
        <v>40940</v>
      </c>
      <c r="D77" s="89" t="s">
        <v>57</v>
      </c>
      <c r="E77" s="89" t="s">
        <v>38</v>
      </c>
      <c r="F77" s="111">
        <f>1</f>
        <v>1</v>
      </c>
      <c r="G77" s="112">
        <f>0.5</f>
        <v>0.5</v>
      </c>
      <c r="H77" s="111">
        <f>0.5+2.5</f>
        <v>3</v>
      </c>
      <c r="I77" s="113">
        <f t="shared" si="2"/>
        <v>4.5</v>
      </c>
      <c r="J77" s="59"/>
      <c r="K77" s="59"/>
      <c r="L77" s="59"/>
      <c r="M77" s="59"/>
      <c r="N77" s="59"/>
      <c r="O77" s="59"/>
    </row>
    <row r="78" spans="1:15" s="15" customFormat="1" ht="80.099999999999994" customHeight="1" x14ac:dyDescent="0.25">
      <c r="A78" s="85"/>
      <c r="B78" s="132" t="s">
        <v>116</v>
      </c>
      <c r="C78" s="133">
        <v>40405</v>
      </c>
      <c r="D78" s="89" t="s">
        <v>40</v>
      </c>
      <c r="E78" s="89" t="s">
        <v>172</v>
      </c>
      <c r="F78" s="110">
        <f>1</f>
        <v>1</v>
      </c>
      <c r="G78" s="110">
        <f>0.5</f>
        <v>0.5</v>
      </c>
      <c r="H78" s="110">
        <f>0.5+2.5</f>
        <v>3</v>
      </c>
      <c r="I78" s="113">
        <f t="shared" si="2"/>
        <v>4.5</v>
      </c>
      <c r="J78" s="51"/>
      <c r="K78" s="51"/>
      <c r="L78" s="51"/>
      <c r="M78" s="51"/>
      <c r="N78" s="51"/>
      <c r="O78" s="51"/>
    </row>
    <row r="79" spans="1:15" s="15" customFormat="1" ht="80.099999999999994" customHeight="1" x14ac:dyDescent="0.25">
      <c r="A79" s="21"/>
      <c r="B79" s="41" t="s">
        <v>141</v>
      </c>
      <c r="C79" s="91">
        <v>40500</v>
      </c>
      <c r="D79" s="89" t="s">
        <v>36</v>
      </c>
      <c r="E79" s="89" t="s">
        <v>71</v>
      </c>
      <c r="F79" s="111">
        <f>1</f>
        <v>1</v>
      </c>
      <c r="G79" s="112">
        <v>0.5</v>
      </c>
      <c r="H79" s="111">
        <f>2.5</f>
        <v>2.5</v>
      </c>
      <c r="I79" s="113">
        <f t="shared" si="2"/>
        <v>4</v>
      </c>
      <c r="J79" s="59"/>
      <c r="K79" s="59"/>
      <c r="L79" s="59"/>
      <c r="M79" s="59"/>
      <c r="N79" s="59"/>
      <c r="O79" s="59"/>
    </row>
    <row r="80" spans="1:15" s="15" customFormat="1" ht="80.099999999999994" customHeight="1" x14ac:dyDescent="0.25">
      <c r="A80" s="66"/>
      <c r="B80" s="106" t="s">
        <v>227</v>
      </c>
      <c r="C80" s="88">
        <v>40028</v>
      </c>
      <c r="D80" s="94" t="s">
        <v>36</v>
      </c>
      <c r="E80" s="89" t="s">
        <v>83</v>
      </c>
      <c r="F80" s="112">
        <f>1</f>
        <v>1</v>
      </c>
      <c r="G80" s="112">
        <f>0.5</f>
        <v>0.5</v>
      </c>
      <c r="H80" s="112">
        <f>2.5</f>
        <v>2.5</v>
      </c>
      <c r="I80" s="113">
        <f t="shared" si="2"/>
        <v>4</v>
      </c>
      <c r="J80" s="59"/>
      <c r="K80" s="59"/>
      <c r="L80" s="59"/>
      <c r="M80" s="59"/>
      <c r="N80" s="59"/>
      <c r="O80" s="59"/>
    </row>
    <row r="81" spans="1:15" s="51" customFormat="1" ht="80.099999999999994" customHeight="1" x14ac:dyDescent="0.25">
      <c r="A81" s="21"/>
      <c r="B81" s="94" t="s">
        <v>137</v>
      </c>
      <c r="C81" s="88">
        <v>40443</v>
      </c>
      <c r="D81" s="89" t="s">
        <v>57</v>
      </c>
      <c r="E81" s="89" t="s">
        <v>38</v>
      </c>
      <c r="F81" s="111">
        <f>1</f>
        <v>1</v>
      </c>
      <c r="G81" s="112">
        <f>0.5</f>
        <v>0.5</v>
      </c>
      <c r="H81" s="111">
        <f>0.5+0.5+1.5</f>
        <v>2.5</v>
      </c>
      <c r="I81" s="113">
        <f t="shared" si="2"/>
        <v>4</v>
      </c>
    </row>
    <row r="82" spans="1:15" s="51" customFormat="1" ht="78.599999999999994" customHeight="1" x14ac:dyDescent="0.25">
      <c r="A82" s="53"/>
      <c r="B82" s="94" t="s">
        <v>229</v>
      </c>
      <c r="C82" s="88">
        <v>41316</v>
      </c>
      <c r="D82" s="89" t="s">
        <v>36</v>
      </c>
      <c r="E82" s="89" t="s">
        <v>71</v>
      </c>
      <c r="F82" s="111">
        <f>1</f>
        <v>1</v>
      </c>
      <c r="G82" s="112">
        <v>0.5</v>
      </c>
      <c r="H82" s="111">
        <f>2.5</f>
        <v>2.5</v>
      </c>
      <c r="I82" s="113">
        <f t="shared" si="2"/>
        <v>4</v>
      </c>
    </row>
    <row r="83" spans="1:15" s="51" customFormat="1" ht="80.099999999999994" customHeight="1" x14ac:dyDescent="0.25">
      <c r="A83" s="66"/>
      <c r="B83" s="106" t="s">
        <v>237</v>
      </c>
      <c r="C83" s="88">
        <v>40156</v>
      </c>
      <c r="D83" s="94" t="s">
        <v>37</v>
      </c>
      <c r="E83" s="89" t="s">
        <v>38</v>
      </c>
      <c r="F83" s="112">
        <f>1</f>
        <v>1</v>
      </c>
      <c r="G83" s="112">
        <f>0.5</f>
        <v>0.5</v>
      </c>
      <c r="H83" s="112">
        <f>2.5</f>
        <v>2.5</v>
      </c>
      <c r="I83" s="113">
        <f t="shared" si="2"/>
        <v>4</v>
      </c>
    </row>
    <row r="84" spans="1:15" s="51" customFormat="1" ht="80.099999999999994" customHeight="1" x14ac:dyDescent="0.25">
      <c r="A84" s="53"/>
      <c r="B84" s="106" t="s">
        <v>224</v>
      </c>
      <c r="C84" s="88">
        <v>40996</v>
      </c>
      <c r="D84" s="89" t="s">
        <v>36</v>
      </c>
      <c r="E84" s="94" t="s">
        <v>71</v>
      </c>
      <c r="F84" s="111">
        <f>1</f>
        <v>1</v>
      </c>
      <c r="G84" s="112">
        <v>0.5</v>
      </c>
      <c r="H84" s="111">
        <f>2</f>
        <v>2</v>
      </c>
      <c r="I84" s="113">
        <f t="shared" si="2"/>
        <v>3.5</v>
      </c>
    </row>
    <row r="85" spans="1:15" s="51" customFormat="1" ht="80.099999999999994" customHeight="1" x14ac:dyDescent="0.25">
      <c r="A85" s="21"/>
      <c r="B85" s="106" t="s">
        <v>225</v>
      </c>
      <c r="C85" s="97">
        <v>40686</v>
      </c>
      <c r="D85" s="89" t="s">
        <v>168</v>
      </c>
      <c r="E85" s="94" t="s">
        <v>113</v>
      </c>
      <c r="F85" s="111">
        <f>1</f>
        <v>1</v>
      </c>
      <c r="G85" s="112">
        <v>0.5</v>
      </c>
      <c r="H85" s="112">
        <f>1.5</f>
        <v>1.5</v>
      </c>
      <c r="I85" s="113">
        <f t="shared" si="2"/>
        <v>3</v>
      </c>
    </row>
    <row r="86" spans="1:15" s="51" customFormat="1" ht="80.099999999999994" customHeight="1" x14ac:dyDescent="0.25">
      <c r="A86" s="66"/>
      <c r="B86" s="106" t="s">
        <v>238</v>
      </c>
      <c r="C86" s="88">
        <v>40774</v>
      </c>
      <c r="D86" s="94" t="s">
        <v>231</v>
      </c>
      <c r="E86" s="89" t="s">
        <v>232</v>
      </c>
      <c r="F86" s="112">
        <f>1</f>
        <v>1</v>
      </c>
      <c r="G86" s="112">
        <f>0.5</f>
        <v>0.5</v>
      </c>
      <c r="H86" s="112">
        <f>1.5</f>
        <v>1.5</v>
      </c>
      <c r="I86" s="113">
        <f t="shared" si="2"/>
        <v>3</v>
      </c>
    </row>
    <row r="87" spans="1:15" s="51" customFormat="1" ht="80.099999999999994" customHeight="1" x14ac:dyDescent="0.25">
      <c r="A87" s="66"/>
      <c r="B87" s="106" t="s">
        <v>245</v>
      </c>
      <c r="C87" s="88">
        <v>39279</v>
      </c>
      <c r="D87" s="89" t="s">
        <v>57</v>
      </c>
      <c r="E87" s="89" t="s">
        <v>38</v>
      </c>
      <c r="F87" s="112">
        <f>1</f>
        <v>1</v>
      </c>
      <c r="G87" s="112">
        <f>0.5</f>
        <v>0.5</v>
      </c>
      <c r="H87" s="112">
        <f>1.5</f>
        <v>1.5</v>
      </c>
      <c r="I87" s="113">
        <f t="shared" si="2"/>
        <v>3</v>
      </c>
    </row>
    <row r="88" spans="1:15" ht="78.599999999999994" customHeight="1" x14ac:dyDescent="0.25">
      <c r="A88" s="66"/>
      <c r="B88" s="106" t="s">
        <v>246</v>
      </c>
      <c r="C88" s="88">
        <v>40858</v>
      </c>
      <c r="D88" s="94" t="s">
        <v>57</v>
      </c>
      <c r="E88" s="89" t="s">
        <v>38</v>
      </c>
      <c r="F88" s="112">
        <f>1</f>
        <v>1</v>
      </c>
      <c r="G88" s="112">
        <f>0.5</f>
        <v>0.5</v>
      </c>
      <c r="H88" s="112">
        <f>1.5</f>
        <v>1.5</v>
      </c>
      <c r="I88" s="113">
        <f t="shared" si="2"/>
        <v>3</v>
      </c>
    </row>
    <row r="89" spans="1:15" s="58" customFormat="1" ht="80.099999999999994" customHeight="1" x14ac:dyDescent="0.25">
      <c r="A89" s="76"/>
      <c r="B89" s="89" t="s">
        <v>87</v>
      </c>
      <c r="C89" s="97">
        <v>41046</v>
      </c>
      <c r="D89" s="89" t="s">
        <v>40</v>
      </c>
      <c r="E89" s="89" t="s">
        <v>44</v>
      </c>
      <c r="F89" s="112"/>
      <c r="G89" s="112"/>
      <c r="H89" s="112">
        <f>0.5+0.5+0.5</f>
        <v>1.5</v>
      </c>
      <c r="I89" s="113">
        <f t="shared" si="2"/>
        <v>1.5</v>
      </c>
      <c r="J89" s="51"/>
      <c r="K89" s="51"/>
      <c r="L89" s="51"/>
      <c r="M89" s="51"/>
      <c r="N89" s="51"/>
      <c r="O89" s="51"/>
    </row>
    <row r="90" spans="1:15" s="59" customFormat="1" ht="78.599999999999994" customHeight="1" x14ac:dyDescent="0.25">
      <c r="A90" s="76"/>
      <c r="B90" s="89" t="s">
        <v>110</v>
      </c>
      <c r="C90" s="97">
        <v>41162</v>
      </c>
      <c r="D90" s="89" t="s">
        <v>197</v>
      </c>
      <c r="E90" s="89" t="s">
        <v>86</v>
      </c>
      <c r="F90" s="112"/>
      <c r="G90" s="112"/>
      <c r="H90" s="112">
        <f>0.5+0.5+0.5</f>
        <v>1.5</v>
      </c>
      <c r="I90" s="113">
        <f t="shared" si="2"/>
        <v>1.5</v>
      </c>
      <c r="J90" s="51"/>
      <c r="K90" s="51"/>
      <c r="L90" s="51"/>
      <c r="M90" s="51"/>
      <c r="N90" s="51"/>
      <c r="O90" s="51"/>
    </row>
    <row r="91" spans="1:15" s="59" customFormat="1" ht="78.599999999999994" customHeight="1" x14ac:dyDescent="0.25">
      <c r="A91" s="76"/>
      <c r="B91" s="96" t="s">
        <v>82</v>
      </c>
      <c r="C91" s="97">
        <v>41169</v>
      </c>
      <c r="D91" s="89" t="s">
        <v>57</v>
      </c>
      <c r="E91" s="96" t="s">
        <v>331</v>
      </c>
      <c r="F91" s="112"/>
      <c r="G91" s="112"/>
      <c r="H91" s="112">
        <f>0.5+0.5+0.5</f>
        <v>1.5</v>
      </c>
      <c r="I91" s="113">
        <f t="shared" si="2"/>
        <v>1.5</v>
      </c>
      <c r="J91" s="51"/>
      <c r="K91" s="51"/>
      <c r="L91" s="51"/>
      <c r="M91" s="51"/>
      <c r="N91" s="51"/>
      <c r="O91" s="51"/>
    </row>
    <row r="92" spans="1:15" s="59" customFormat="1" ht="78.599999999999994" customHeight="1" x14ac:dyDescent="0.25">
      <c r="A92" s="21"/>
      <c r="B92" s="94" t="s">
        <v>90</v>
      </c>
      <c r="C92" s="88">
        <v>40046</v>
      </c>
      <c r="D92" s="89" t="s">
        <v>31</v>
      </c>
      <c r="E92" s="89" t="s">
        <v>51</v>
      </c>
      <c r="F92" s="111"/>
      <c r="G92" s="112"/>
      <c r="H92" s="111">
        <f>0.5+0.5+0.5</f>
        <v>1.5</v>
      </c>
      <c r="I92" s="113">
        <f t="shared" si="2"/>
        <v>1.5</v>
      </c>
      <c r="J92" s="51"/>
      <c r="K92" s="51"/>
      <c r="L92" s="51"/>
      <c r="M92" s="51"/>
      <c r="N92" s="51"/>
      <c r="O92" s="51"/>
    </row>
    <row r="93" spans="1:15" s="12" customFormat="1" ht="78.599999999999994" customHeight="1" x14ac:dyDescent="0.25">
      <c r="A93" s="21"/>
      <c r="B93" s="94" t="s">
        <v>97</v>
      </c>
      <c r="C93" s="88">
        <v>39906</v>
      </c>
      <c r="D93" s="89" t="s">
        <v>36</v>
      </c>
      <c r="E93" s="89" t="s">
        <v>83</v>
      </c>
      <c r="F93" s="111"/>
      <c r="G93" s="112"/>
      <c r="H93" s="111">
        <f t="shared" ref="H93:H102" si="3">0.5+0.5</f>
        <v>1</v>
      </c>
      <c r="I93" s="113">
        <f t="shared" si="2"/>
        <v>1</v>
      </c>
    </row>
    <row r="94" spans="1:15" s="15" customFormat="1" ht="78.599999999999994" customHeight="1" x14ac:dyDescent="0.25">
      <c r="A94" s="21"/>
      <c r="B94" s="94" t="s">
        <v>118</v>
      </c>
      <c r="C94" s="88">
        <v>40353</v>
      </c>
      <c r="D94" s="89" t="s">
        <v>45</v>
      </c>
      <c r="E94" s="89" t="s">
        <v>44</v>
      </c>
      <c r="F94" s="111"/>
      <c r="G94" s="112"/>
      <c r="H94" s="111">
        <f t="shared" si="3"/>
        <v>1</v>
      </c>
      <c r="I94" s="113">
        <f t="shared" si="2"/>
        <v>1</v>
      </c>
    </row>
    <row r="95" spans="1:15" s="15" customFormat="1" ht="78.599999999999994" customHeight="1" x14ac:dyDescent="0.25">
      <c r="A95" s="85"/>
      <c r="B95" s="101" t="s">
        <v>255</v>
      </c>
      <c r="C95" s="103">
        <v>40869</v>
      </c>
      <c r="D95" s="89" t="s">
        <v>40</v>
      </c>
      <c r="E95" s="94" t="s">
        <v>44</v>
      </c>
      <c r="F95" s="110"/>
      <c r="G95" s="110"/>
      <c r="H95" s="110">
        <f t="shared" si="3"/>
        <v>1</v>
      </c>
      <c r="I95" s="113">
        <f t="shared" si="2"/>
        <v>1</v>
      </c>
    </row>
    <row r="96" spans="1:15" s="15" customFormat="1" ht="78.599999999999994" customHeight="1" x14ac:dyDescent="0.25">
      <c r="A96" s="85"/>
      <c r="B96" s="101" t="s">
        <v>260</v>
      </c>
      <c r="C96" s="103">
        <v>40213</v>
      </c>
      <c r="D96" s="89" t="s">
        <v>40</v>
      </c>
      <c r="E96" s="94" t="s">
        <v>44</v>
      </c>
      <c r="F96" s="110"/>
      <c r="G96" s="110"/>
      <c r="H96" s="110">
        <f t="shared" si="3"/>
        <v>1</v>
      </c>
      <c r="I96" s="113">
        <f t="shared" si="2"/>
        <v>1</v>
      </c>
    </row>
    <row r="97" spans="1:15" s="15" customFormat="1" ht="78.599999999999994" customHeight="1" x14ac:dyDescent="0.25">
      <c r="A97" s="21"/>
      <c r="B97" s="94" t="s">
        <v>92</v>
      </c>
      <c r="C97" s="88">
        <v>40183</v>
      </c>
      <c r="D97" s="89" t="s">
        <v>36</v>
      </c>
      <c r="E97" s="89" t="s">
        <v>39</v>
      </c>
      <c r="F97" s="111"/>
      <c r="G97" s="112"/>
      <c r="H97" s="111">
        <f t="shared" si="3"/>
        <v>1</v>
      </c>
      <c r="I97" s="113">
        <f t="shared" si="2"/>
        <v>1</v>
      </c>
      <c r="J97" s="51"/>
      <c r="K97" s="51"/>
      <c r="L97" s="51"/>
      <c r="M97" s="51"/>
      <c r="N97" s="51"/>
      <c r="O97" s="51"/>
    </row>
    <row r="98" spans="1:15" s="15" customFormat="1" ht="78.599999999999994" customHeight="1" x14ac:dyDescent="0.25">
      <c r="A98" s="21"/>
      <c r="B98" s="94" t="s">
        <v>138</v>
      </c>
      <c r="C98" s="88">
        <v>40614</v>
      </c>
      <c r="D98" s="89" t="s">
        <v>57</v>
      </c>
      <c r="E98" s="89" t="s">
        <v>38</v>
      </c>
      <c r="F98" s="111"/>
      <c r="G98" s="112"/>
      <c r="H98" s="111">
        <f t="shared" si="3"/>
        <v>1</v>
      </c>
      <c r="I98" s="113">
        <f t="shared" ref="I98:I129" si="4">F98+G98+H98</f>
        <v>1</v>
      </c>
    </row>
    <row r="99" spans="1:15" s="15" customFormat="1" ht="78.599999999999994" customHeight="1" x14ac:dyDescent="0.25">
      <c r="A99" s="53"/>
      <c r="B99" s="94" t="s">
        <v>193</v>
      </c>
      <c r="C99" s="88">
        <v>40972</v>
      </c>
      <c r="D99" s="89" t="s">
        <v>194</v>
      </c>
      <c r="E99" s="94" t="s">
        <v>38</v>
      </c>
      <c r="F99" s="111"/>
      <c r="G99" s="112"/>
      <c r="H99" s="111">
        <f t="shared" si="3"/>
        <v>1</v>
      </c>
      <c r="I99" s="113">
        <f t="shared" si="4"/>
        <v>1</v>
      </c>
      <c r="J99" s="51"/>
      <c r="K99" s="51"/>
      <c r="L99" s="51"/>
      <c r="M99" s="51"/>
      <c r="N99" s="51"/>
      <c r="O99" s="51"/>
    </row>
    <row r="100" spans="1:15" s="15" customFormat="1" ht="78.599999999999994" customHeight="1" x14ac:dyDescent="0.25">
      <c r="A100" s="76"/>
      <c r="B100" s="89" t="s">
        <v>187</v>
      </c>
      <c r="C100" s="97">
        <v>40478</v>
      </c>
      <c r="D100" s="95" t="s">
        <v>40</v>
      </c>
      <c r="E100" s="95" t="s">
        <v>172</v>
      </c>
      <c r="F100" s="112"/>
      <c r="G100" s="112"/>
      <c r="H100" s="112">
        <f t="shared" si="3"/>
        <v>1</v>
      </c>
      <c r="I100" s="113">
        <f t="shared" si="4"/>
        <v>1</v>
      </c>
    </row>
    <row r="101" spans="1:15" s="15" customFormat="1" ht="78.599999999999994" customHeight="1" x14ac:dyDescent="0.3">
      <c r="A101" s="23"/>
      <c r="B101" s="94" t="s">
        <v>198</v>
      </c>
      <c r="C101" s="88">
        <v>40711</v>
      </c>
      <c r="D101" s="89" t="s">
        <v>57</v>
      </c>
      <c r="E101" s="89" t="s">
        <v>38</v>
      </c>
      <c r="F101" s="111"/>
      <c r="G101" s="112"/>
      <c r="H101" s="111">
        <f t="shared" si="3"/>
        <v>1</v>
      </c>
      <c r="I101" s="113">
        <f t="shared" si="4"/>
        <v>1</v>
      </c>
      <c r="J101" s="51"/>
      <c r="K101" s="51"/>
      <c r="L101" s="51"/>
      <c r="M101" s="51"/>
      <c r="N101" s="51"/>
      <c r="O101" s="51"/>
    </row>
    <row r="102" spans="1:15" s="15" customFormat="1" ht="78.599999999999994" customHeight="1" x14ac:dyDescent="0.25">
      <c r="A102" s="76"/>
      <c r="B102" s="96" t="s">
        <v>85</v>
      </c>
      <c r="C102" s="97">
        <v>41486</v>
      </c>
      <c r="D102" s="89" t="s">
        <v>31</v>
      </c>
      <c r="E102" s="89" t="s">
        <v>51</v>
      </c>
      <c r="F102" s="112"/>
      <c r="G102" s="112"/>
      <c r="H102" s="112">
        <f t="shared" si="3"/>
        <v>1</v>
      </c>
      <c r="I102" s="113">
        <f t="shared" si="4"/>
        <v>1</v>
      </c>
    </row>
    <row r="103" spans="1:15" s="15" customFormat="1" ht="78.599999999999994" customHeight="1" x14ac:dyDescent="0.25">
      <c r="A103" s="21"/>
      <c r="B103" s="94" t="s">
        <v>140</v>
      </c>
      <c r="C103" s="88">
        <v>41145</v>
      </c>
      <c r="D103" s="89" t="s">
        <v>36</v>
      </c>
      <c r="E103" s="89" t="s">
        <v>71</v>
      </c>
      <c r="F103" s="111"/>
      <c r="G103" s="112"/>
      <c r="H103" s="111">
        <f>0.5</f>
        <v>0.5</v>
      </c>
      <c r="I103" s="113">
        <f t="shared" si="4"/>
        <v>0.5</v>
      </c>
    </row>
    <row r="104" spans="1:15" s="15" customFormat="1" ht="78.599999999999994" customHeight="1" x14ac:dyDescent="0.25">
      <c r="A104" s="66"/>
      <c r="B104" s="106" t="s">
        <v>226</v>
      </c>
      <c r="C104" s="97">
        <v>40822</v>
      </c>
      <c r="D104" s="89" t="s">
        <v>168</v>
      </c>
      <c r="E104" s="94" t="s">
        <v>113</v>
      </c>
      <c r="F104" s="112"/>
      <c r="G104" s="112"/>
      <c r="H104" s="112">
        <v>0.5</v>
      </c>
      <c r="I104" s="113">
        <f t="shared" si="4"/>
        <v>0.5</v>
      </c>
      <c r="J104" s="51"/>
      <c r="K104" s="51"/>
      <c r="L104" s="51"/>
      <c r="M104" s="51"/>
      <c r="N104" s="51"/>
      <c r="O104" s="51"/>
    </row>
    <row r="105" spans="1:15" s="15" customFormat="1" ht="78.599999999999994" customHeight="1" x14ac:dyDescent="0.25">
      <c r="A105" s="21"/>
      <c r="B105" s="94" t="s">
        <v>150</v>
      </c>
      <c r="C105" s="88">
        <v>40797</v>
      </c>
      <c r="D105" s="89" t="s">
        <v>57</v>
      </c>
      <c r="E105" s="89" t="s">
        <v>38</v>
      </c>
      <c r="F105" s="111"/>
      <c r="G105" s="112"/>
      <c r="H105" s="111">
        <v>0.5</v>
      </c>
      <c r="I105" s="113">
        <f t="shared" si="4"/>
        <v>0.5</v>
      </c>
      <c r="J105" s="51"/>
      <c r="K105" s="51"/>
      <c r="L105" s="51"/>
      <c r="M105" s="51"/>
      <c r="N105" s="51"/>
      <c r="O105" s="51"/>
    </row>
    <row r="106" spans="1:15" s="15" customFormat="1" ht="78.599999999999994" customHeight="1" x14ac:dyDescent="0.25">
      <c r="A106" s="66"/>
      <c r="B106" s="106" t="s">
        <v>235</v>
      </c>
      <c r="C106" s="88">
        <v>40381</v>
      </c>
      <c r="D106" s="94" t="s">
        <v>168</v>
      </c>
      <c r="E106" s="89" t="s">
        <v>113</v>
      </c>
      <c r="F106" s="112"/>
      <c r="G106" s="112"/>
      <c r="H106" s="112">
        <v>0.5</v>
      </c>
      <c r="I106" s="113">
        <f t="shared" si="4"/>
        <v>0.5</v>
      </c>
      <c r="J106" s="51"/>
      <c r="K106" s="51"/>
      <c r="L106" s="51"/>
      <c r="M106" s="51"/>
      <c r="N106" s="51"/>
      <c r="O106" s="51"/>
    </row>
    <row r="107" spans="1:15" s="15" customFormat="1" ht="78.599999999999994" customHeight="1" x14ac:dyDescent="0.25">
      <c r="A107" s="66"/>
      <c r="B107" s="106" t="s">
        <v>240</v>
      </c>
      <c r="C107" s="88">
        <v>41190</v>
      </c>
      <c r="D107" s="89" t="s">
        <v>57</v>
      </c>
      <c r="E107" s="89" t="s">
        <v>38</v>
      </c>
      <c r="F107" s="112"/>
      <c r="G107" s="112"/>
      <c r="H107" s="112">
        <v>0.5</v>
      </c>
      <c r="I107" s="113">
        <f t="shared" si="4"/>
        <v>0.5</v>
      </c>
    </row>
    <row r="108" spans="1:15" s="15" customFormat="1" ht="78.599999999999994" customHeight="1" x14ac:dyDescent="0.3">
      <c r="A108" s="23"/>
      <c r="B108" s="94" t="s">
        <v>106</v>
      </c>
      <c r="C108" s="97">
        <v>40496</v>
      </c>
      <c r="D108" s="89" t="s">
        <v>31</v>
      </c>
      <c r="E108" s="89" t="s">
        <v>51</v>
      </c>
      <c r="F108" s="112"/>
      <c r="G108" s="112"/>
      <c r="H108" s="112">
        <v>0.5</v>
      </c>
      <c r="I108" s="113">
        <f t="shared" si="4"/>
        <v>0.5</v>
      </c>
    </row>
    <row r="109" spans="1:15" s="15" customFormat="1" ht="78.599999999999994" customHeight="1" x14ac:dyDescent="0.25">
      <c r="A109" s="21"/>
      <c r="B109" s="94" t="s">
        <v>80</v>
      </c>
      <c r="C109" s="88">
        <v>41007</v>
      </c>
      <c r="D109" s="89" t="s">
        <v>45</v>
      </c>
      <c r="E109" s="89" t="s">
        <v>44</v>
      </c>
      <c r="F109" s="111"/>
      <c r="G109" s="112"/>
      <c r="H109" s="111">
        <f>0.5</f>
        <v>0.5</v>
      </c>
      <c r="I109" s="113">
        <f t="shared" si="4"/>
        <v>0.5</v>
      </c>
    </row>
    <row r="110" spans="1:15" s="15" customFormat="1" ht="78.599999999999994" customHeight="1" x14ac:dyDescent="0.3">
      <c r="A110" s="23"/>
      <c r="B110" s="89" t="s">
        <v>201</v>
      </c>
      <c r="C110" s="97">
        <v>39849</v>
      </c>
      <c r="D110" s="89" t="s">
        <v>37</v>
      </c>
      <c r="E110" s="89" t="s">
        <v>38</v>
      </c>
      <c r="F110" s="112"/>
      <c r="G110" s="112"/>
      <c r="H110" s="112">
        <v>0.5</v>
      </c>
      <c r="I110" s="113">
        <f t="shared" si="4"/>
        <v>0.5</v>
      </c>
    </row>
    <row r="111" spans="1:15" s="15" customFormat="1" ht="78.599999999999994" customHeight="1" x14ac:dyDescent="0.25">
      <c r="A111" s="21"/>
      <c r="B111" s="94" t="s">
        <v>169</v>
      </c>
      <c r="C111" s="88">
        <v>40641</v>
      </c>
      <c r="D111" s="89" t="s">
        <v>57</v>
      </c>
      <c r="E111" s="89" t="s">
        <v>38</v>
      </c>
      <c r="F111" s="111"/>
      <c r="G111" s="112"/>
      <c r="H111" s="111">
        <v>0.5</v>
      </c>
      <c r="I111" s="113">
        <f t="shared" si="4"/>
        <v>0.5</v>
      </c>
    </row>
    <row r="112" spans="1:15" s="51" customFormat="1" ht="78.599999999999994" customHeight="1" x14ac:dyDescent="0.25">
      <c r="A112" s="21"/>
      <c r="B112" s="94" t="s">
        <v>266</v>
      </c>
      <c r="C112" s="88">
        <v>40010</v>
      </c>
      <c r="D112" s="89" t="s">
        <v>36</v>
      </c>
      <c r="E112" s="89" t="s">
        <v>71</v>
      </c>
      <c r="F112" s="111"/>
      <c r="G112" s="112"/>
      <c r="H112" s="111">
        <f>0.5</f>
        <v>0.5</v>
      </c>
      <c r="I112" s="113">
        <f t="shared" si="4"/>
        <v>0.5</v>
      </c>
      <c r="J112" s="31"/>
      <c r="K112" s="31"/>
      <c r="L112" s="31"/>
      <c r="M112" s="31"/>
      <c r="N112" s="31"/>
      <c r="O112" s="31"/>
    </row>
    <row r="113" spans="1:15" s="15" customFormat="1" ht="78.599999999999994" customHeight="1" x14ac:dyDescent="0.25">
      <c r="A113" s="86"/>
      <c r="B113" s="96" t="s">
        <v>109</v>
      </c>
      <c r="C113" s="97">
        <v>41334</v>
      </c>
      <c r="D113" s="89" t="s">
        <v>40</v>
      </c>
      <c r="E113" s="94" t="s">
        <v>44</v>
      </c>
      <c r="F113" s="113"/>
      <c r="G113" s="113"/>
      <c r="H113" s="112">
        <f>0.5</f>
        <v>0.5</v>
      </c>
      <c r="I113" s="113">
        <f t="shared" si="4"/>
        <v>0.5</v>
      </c>
      <c r="J113" s="59"/>
      <c r="K113" s="59"/>
      <c r="L113" s="59"/>
      <c r="M113" s="59"/>
      <c r="N113" s="59"/>
      <c r="O113" s="59"/>
    </row>
    <row r="114" spans="1:15" s="51" customFormat="1" ht="78.599999999999994" customHeight="1" x14ac:dyDescent="0.25">
      <c r="A114" s="53"/>
      <c r="B114" s="94" t="s">
        <v>215</v>
      </c>
      <c r="C114" s="88">
        <v>41295</v>
      </c>
      <c r="D114" s="89" t="s">
        <v>194</v>
      </c>
      <c r="E114" s="94" t="s">
        <v>38</v>
      </c>
      <c r="F114" s="111"/>
      <c r="G114" s="112"/>
      <c r="H114" s="111">
        <v>0.5</v>
      </c>
      <c r="I114" s="113">
        <f t="shared" si="4"/>
        <v>0.5</v>
      </c>
      <c r="J114" s="63"/>
      <c r="K114" s="63"/>
      <c r="L114" s="63"/>
      <c r="M114" s="63"/>
      <c r="N114" s="63"/>
      <c r="O114" s="63"/>
    </row>
    <row r="115" spans="1:15" s="51" customFormat="1" ht="80.099999999999994" customHeight="1" x14ac:dyDescent="0.25">
      <c r="A115" s="85"/>
      <c r="B115" s="101" t="s">
        <v>256</v>
      </c>
      <c r="C115" s="103">
        <v>40771</v>
      </c>
      <c r="D115" s="89" t="s">
        <v>98</v>
      </c>
      <c r="E115" s="89" t="s">
        <v>99</v>
      </c>
      <c r="F115" s="110"/>
      <c r="G115" s="110"/>
      <c r="H115" s="110">
        <f t="shared" ref="H115:H121" si="5">0.5</f>
        <v>0.5</v>
      </c>
      <c r="I115" s="113">
        <f t="shared" si="4"/>
        <v>0.5</v>
      </c>
    </row>
    <row r="116" spans="1:15" s="51" customFormat="1" ht="80.099999999999994" customHeight="1" x14ac:dyDescent="0.25">
      <c r="A116" s="85"/>
      <c r="B116" s="101" t="s">
        <v>257</v>
      </c>
      <c r="C116" s="103">
        <v>40675</v>
      </c>
      <c r="D116" s="89" t="s">
        <v>37</v>
      </c>
      <c r="E116" s="87" t="s">
        <v>258</v>
      </c>
      <c r="F116" s="110"/>
      <c r="G116" s="110"/>
      <c r="H116" s="110">
        <f t="shared" si="5"/>
        <v>0.5</v>
      </c>
      <c r="I116" s="113">
        <f t="shared" si="4"/>
        <v>0.5</v>
      </c>
    </row>
    <row r="117" spans="1:15" s="51" customFormat="1" ht="79.900000000000006" customHeight="1" x14ac:dyDescent="0.25">
      <c r="A117" s="85"/>
      <c r="B117" s="101" t="s">
        <v>262</v>
      </c>
      <c r="C117" s="103">
        <v>39713</v>
      </c>
      <c r="D117" s="89" t="s">
        <v>36</v>
      </c>
      <c r="E117" s="89" t="s">
        <v>71</v>
      </c>
      <c r="F117" s="110"/>
      <c r="G117" s="110"/>
      <c r="H117" s="110">
        <f t="shared" si="5"/>
        <v>0.5</v>
      </c>
      <c r="I117" s="113">
        <f t="shared" si="4"/>
        <v>0.5</v>
      </c>
    </row>
    <row r="118" spans="1:15" s="12" customFormat="1" ht="79.900000000000006" customHeight="1" x14ac:dyDescent="0.25">
      <c r="A118" s="85"/>
      <c r="B118" s="101" t="s">
        <v>263</v>
      </c>
      <c r="C118" s="103">
        <v>39950</v>
      </c>
      <c r="D118" s="89" t="s">
        <v>265</v>
      </c>
      <c r="E118" s="94" t="s">
        <v>264</v>
      </c>
      <c r="F118" s="110"/>
      <c r="G118" s="110"/>
      <c r="H118" s="110">
        <f t="shared" si="5"/>
        <v>0.5</v>
      </c>
      <c r="I118" s="113">
        <f t="shared" si="4"/>
        <v>0.5</v>
      </c>
    </row>
    <row r="119" spans="1:15" s="51" customFormat="1" ht="79.900000000000006" customHeight="1" x14ac:dyDescent="0.25">
      <c r="A119" s="85"/>
      <c r="B119" s="101" t="s">
        <v>267</v>
      </c>
      <c r="C119" s="103">
        <v>40529</v>
      </c>
      <c r="D119" s="89" t="s">
        <v>36</v>
      </c>
      <c r="E119" s="94" t="s">
        <v>184</v>
      </c>
      <c r="F119" s="110"/>
      <c r="G119" s="110"/>
      <c r="H119" s="110">
        <f t="shared" si="5"/>
        <v>0.5</v>
      </c>
      <c r="I119" s="113">
        <f t="shared" si="4"/>
        <v>0.5</v>
      </c>
    </row>
    <row r="120" spans="1:15" s="51" customFormat="1" ht="79.900000000000006" customHeight="1" x14ac:dyDescent="0.25">
      <c r="A120" s="85"/>
      <c r="B120" s="101" t="s">
        <v>268</v>
      </c>
      <c r="C120" s="103">
        <v>40161</v>
      </c>
      <c r="D120" s="95" t="s">
        <v>37</v>
      </c>
      <c r="E120" s="95" t="s">
        <v>38</v>
      </c>
      <c r="F120" s="110"/>
      <c r="G120" s="110"/>
      <c r="H120" s="110">
        <f t="shared" si="5"/>
        <v>0.5</v>
      </c>
      <c r="I120" s="113">
        <f t="shared" si="4"/>
        <v>0.5</v>
      </c>
    </row>
    <row r="121" spans="1:15" s="51" customFormat="1" ht="79.900000000000006" customHeight="1" x14ac:dyDescent="0.25">
      <c r="A121" s="76"/>
      <c r="B121" s="87" t="s">
        <v>290</v>
      </c>
      <c r="C121" s="97">
        <v>41363</v>
      </c>
      <c r="D121" s="89" t="s">
        <v>31</v>
      </c>
      <c r="E121" s="89" t="s">
        <v>51</v>
      </c>
      <c r="F121" s="111"/>
      <c r="G121" s="111"/>
      <c r="H121" s="111">
        <f t="shared" si="5"/>
        <v>0.5</v>
      </c>
      <c r="I121" s="113">
        <f t="shared" si="4"/>
        <v>0.5</v>
      </c>
    </row>
    <row r="122" spans="1:15" s="51" customFormat="1" ht="79.900000000000006" customHeight="1" x14ac:dyDescent="0.25">
      <c r="A122" s="76"/>
      <c r="B122" s="96" t="s">
        <v>307</v>
      </c>
      <c r="C122" s="97">
        <v>41182</v>
      </c>
      <c r="D122" s="89" t="s">
        <v>36</v>
      </c>
      <c r="E122" s="94" t="s">
        <v>184</v>
      </c>
      <c r="F122" s="112"/>
      <c r="G122" s="112"/>
      <c r="H122" s="112">
        <v>0.5</v>
      </c>
      <c r="I122" s="113">
        <f t="shared" si="4"/>
        <v>0.5</v>
      </c>
    </row>
    <row r="123" spans="1:15" s="51" customFormat="1" ht="79.900000000000006" customHeight="1" x14ac:dyDescent="0.25">
      <c r="A123" s="76"/>
      <c r="B123" s="96" t="s">
        <v>323</v>
      </c>
      <c r="C123" s="97">
        <v>40571</v>
      </c>
      <c r="D123" s="89" t="s">
        <v>36</v>
      </c>
      <c r="E123" s="89" t="s">
        <v>71</v>
      </c>
      <c r="F123" s="112"/>
      <c r="G123" s="112"/>
      <c r="H123" s="112">
        <f t="shared" ref="H123:H129" si="6">0.5</f>
        <v>0.5</v>
      </c>
      <c r="I123" s="113">
        <f t="shared" si="4"/>
        <v>0.5</v>
      </c>
    </row>
    <row r="124" spans="1:15" s="51" customFormat="1" ht="79.900000000000006" customHeight="1" x14ac:dyDescent="0.25">
      <c r="A124" s="76"/>
      <c r="B124" s="96" t="s">
        <v>308</v>
      </c>
      <c r="C124" s="97">
        <v>40444</v>
      </c>
      <c r="D124" s="89" t="s">
        <v>36</v>
      </c>
      <c r="E124" s="94" t="s">
        <v>184</v>
      </c>
      <c r="F124" s="112"/>
      <c r="G124" s="112"/>
      <c r="H124" s="112">
        <f t="shared" si="6"/>
        <v>0.5</v>
      </c>
      <c r="I124" s="113">
        <f t="shared" si="4"/>
        <v>0.5</v>
      </c>
    </row>
    <row r="125" spans="1:15" s="51" customFormat="1" ht="79.900000000000006" customHeight="1" x14ac:dyDescent="0.25">
      <c r="A125" s="76"/>
      <c r="B125" s="96" t="s">
        <v>309</v>
      </c>
      <c r="C125" s="97">
        <v>40088</v>
      </c>
      <c r="D125" s="89" t="s">
        <v>36</v>
      </c>
      <c r="E125" s="94" t="s">
        <v>184</v>
      </c>
      <c r="F125" s="112"/>
      <c r="G125" s="112"/>
      <c r="H125" s="112">
        <f t="shared" si="6"/>
        <v>0.5</v>
      </c>
      <c r="I125" s="113">
        <f t="shared" si="4"/>
        <v>0.5</v>
      </c>
    </row>
    <row r="126" spans="1:15" s="51" customFormat="1" ht="79.900000000000006" customHeight="1" x14ac:dyDescent="0.25">
      <c r="A126" s="76"/>
      <c r="B126" s="96" t="s">
        <v>310</v>
      </c>
      <c r="C126" s="97">
        <v>39827</v>
      </c>
      <c r="D126" s="89" t="s">
        <v>311</v>
      </c>
      <c r="E126" s="94" t="s">
        <v>312</v>
      </c>
      <c r="F126" s="112"/>
      <c r="G126" s="112"/>
      <c r="H126" s="112">
        <f t="shared" si="6"/>
        <v>0.5</v>
      </c>
      <c r="I126" s="113">
        <f t="shared" si="4"/>
        <v>0.5</v>
      </c>
    </row>
    <row r="127" spans="1:15" s="51" customFormat="1" ht="79.900000000000006" customHeight="1" x14ac:dyDescent="0.25">
      <c r="A127" s="76"/>
      <c r="B127" s="96" t="s">
        <v>313</v>
      </c>
      <c r="C127" s="97">
        <v>40059</v>
      </c>
      <c r="D127" s="89" t="s">
        <v>36</v>
      </c>
      <c r="E127" s="89" t="s">
        <v>71</v>
      </c>
      <c r="F127" s="112"/>
      <c r="G127" s="112"/>
      <c r="H127" s="112">
        <f t="shared" si="6"/>
        <v>0.5</v>
      </c>
      <c r="I127" s="113">
        <f t="shared" si="4"/>
        <v>0.5</v>
      </c>
    </row>
    <row r="128" spans="1:15" s="51" customFormat="1" ht="79.900000000000006" customHeight="1" x14ac:dyDescent="0.25">
      <c r="A128" s="76"/>
      <c r="B128" s="96" t="s">
        <v>321</v>
      </c>
      <c r="C128" s="97">
        <v>40468</v>
      </c>
      <c r="D128" s="89" t="s">
        <v>57</v>
      </c>
      <c r="E128" s="89" t="s">
        <v>38</v>
      </c>
      <c r="F128" s="112"/>
      <c r="G128" s="112"/>
      <c r="H128" s="112">
        <f t="shared" si="6"/>
        <v>0.5</v>
      </c>
      <c r="I128" s="113">
        <f t="shared" si="4"/>
        <v>0.5</v>
      </c>
    </row>
    <row r="129" spans="1:15" s="51" customFormat="1" ht="79.900000000000006" customHeight="1" x14ac:dyDescent="0.25">
      <c r="A129" s="76"/>
      <c r="B129" s="96" t="s">
        <v>327</v>
      </c>
      <c r="C129" s="88">
        <v>40409</v>
      </c>
      <c r="D129" s="89" t="s">
        <v>168</v>
      </c>
      <c r="E129" s="94" t="s">
        <v>113</v>
      </c>
      <c r="F129" s="112">
        <f>0</f>
        <v>0</v>
      </c>
      <c r="G129" s="112">
        <f>0</f>
        <v>0</v>
      </c>
      <c r="H129" s="112">
        <f t="shared" si="6"/>
        <v>0.5</v>
      </c>
      <c r="I129" s="113">
        <f t="shared" si="4"/>
        <v>0.5</v>
      </c>
    </row>
    <row r="130" spans="1:15" s="51" customFormat="1" ht="79.900000000000006" customHeight="1" x14ac:dyDescent="0.25">
      <c r="A130" s="76"/>
      <c r="B130" s="96" t="s">
        <v>328</v>
      </c>
      <c r="C130" s="88">
        <v>40674</v>
      </c>
      <c r="D130" s="89" t="s">
        <v>168</v>
      </c>
      <c r="E130" s="94" t="s">
        <v>113</v>
      </c>
      <c r="F130" s="112">
        <v>0</v>
      </c>
      <c r="G130" s="112">
        <v>0</v>
      </c>
      <c r="H130" s="112">
        <v>0.5</v>
      </c>
      <c r="I130" s="113">
        <f t="shared" ref="I130:I134" si="7">F130+G130+H130</f>
        <v>0.5</v>
      </c>
    </row>
    <row r="131" spans="1:15" s="51" customFormat="1" ht="79.900000000000006" customHeight="1" x14ac:dyDescent="0.25">
      <c r="A131" s="53"/>
      <c r="B131" s="94" t="s">
        <v>182</v>
      </c>
      <c r="C131" s="88">
        <v>40524</v>
      </c>
      <c r="D131" s="95" t="s">
        <v>31</v>
      </c>
      <c r="E131" s="95" t="s">
        <v>32</v>
      </c>
      <c r="F131" s="111"/>
      <c r="G131" s="112"/>
      <c r="H131" s="111"/>
      <c r="I131" s="113">
        <f t="shared" si="7"/>
        <v>0</v>
      </c>
    </row>
    <row r="132" spans="1:15" s="51" customFormat="1" ht="79.900000000000006" customHeight="1" x14ac:dyDescent="0.3">
      <c r="A132" s="23"/>
      <c r="B132" s="94" t="s">
        <v>76</v>
      </c>
      <c r="C132" s="88">
        <v>40581</v>
      </c>
      <c r="D132" s="89" t="s">
        <v>31</v>
      </c>
      <c r="E132" s="94" t="s">
        <v>32</v>
      </c>
      <c r="F132" s="111"/>
      <c r="G132" s="112"/>
      <c r="H132" s="111"/>
      <c r="I132" s="113">
        <f t="shared" si="7"/>
        <v>0</v>
      </c>
    </row>
    <row r="133" spans="1:15" s="51" customFormat="1" ht="79.900000000000006" customHeight="1" x14ac:dyDescent="0.3">
      <c r="A133" s="23"/>
      <c r="B133" s="94" t="s">
        <v>58</v>
      </c>
      <c r="C133" s="88">
        <v>40725</v>
      </c>
      <c r="D133" s="89" t="s">
        <v>31</v>
      </c>
      <c r="E133" s="89" t="s">
        <v>51</v>
      </c>
      <c r="F133" s="111"/>
      <c r="G133" s="112"/>
      <c r="H133" s="111"/>
      <c r="I133" s="113">
        <f t="shared" si="7"/>
        <v>0</v>
      </c>
    </row>
    <row r="134" spans="1:15" s="51" customFormat="1" ht="79.900000000000006" customHeight="1" x14ac:dyDescent="0.25">
      <c r="A134" s="76"/>
      <c r="B134" s="96" t="s">
        <v>160</v>
      </c>
      <c r="C134" s="97">
        <v>41408</v>
      </c>
      <c r="D134" s="89" t="s">
        <v>132</v>
      </c>
      <c r="E134" s="89" t="s">
        <v>247</v>
      </c>
      <c r="F134" s="112"/>
      <c r="G134" s="112"/>
      <c r="H134" s="112"/>
      <c r="I134" s="113">
        <f t="shared" si="7"/>
        <v>0</v>
      </c>
    </row>
    <row r="135" spans="1:15" s="51" customFormat="1" x14ac:dyDescent="0.25">
      <c r="A135" s="19"/>
      <c r="B135" s="107"/>
      <c r="C135" s="42"/>
      <c r="D135" s="42"/>
      <c r="E135" s="44"/>
      <c r="F135" s="114"/>
      <c r="G135" s="114"/>
      <c r="H135" s="114"/>
      <c r="I135" s="118"/>
    </row>
    <row r="136" spans="1:15" s="10" customFormat="1" x14ac:dyDescent="0.25">
      <c r="A136" s="19"/>
      <c r="B136" s="104"/>
      <c r="C136" s="104"/>
      <c r="D136" s="104"/>
      <c r="E136" s="108"/>
      <c r="F136" s="115"/>
      <c r="G136" s="115"/>
      <c r="H136" s="115"/>
      <c r="I136" s="115"/>
    </row>
    <row r="137" spans="1:15" x14ac:dyDescent="0.25">
      <c r="J137" s="163" t="s">
        <v>4</v>
      </c>
      <c r="K137" s="163"/>
      <c r="L137" s="163"/>
      <c r="M137" s="163"/>
      <c r="N137" s="163"/>
      <c r="O137" s="163"/>
    </row>
    <row r="138" spans="1:15" x14ac:dyDescent="0.25">
      <c r="J138" s="162" t="s">
        <v>6</v>
      </c>
      <c r="K138" s="162"/>
      <c r="L138" s="162" t="s">
        <v>5</v>
      </c>
      <c r="M138" s="162"/>
      <c r="N138" s="162" t="s">
        <v>3</v>
      </c>
      <c r="O138" s="162"/>
    </row>
    <row r="139" spans="1:15" x14ac:dyDescent="0.25">
      <c r="J139" s="21" t="s">
        <v>22</v>
      </c>
      <c r="K139" s="24" t="s">
        <v>8</v>
      </c>
      <c r="L139" s="21" t="s">
        <v>18</v>
      </c>
      <c r="M139" s="24" t="s">
        <v>8</v>
      </c>
      <c r="N139" s="21" t="s">
        <v>7</v>
      </c>
      <c r="O139" s="24" t="s">
        <v>8</v>
      </c>
    </row>
    <row r="140" spans="1:15" ht="46.35" customHeight="1" x14ac:dyDescent="0.25">
      <c r="J140" s="25" t="s">
        <v>23</v>
      </c>
      <c r="K140" s="24" t="s">
        <v>10</v>
      </c>
      <c r="L140" s="21" t="s">
        <v>19</v>
      </c>
      <c r="M140" s="24" t="s">
        <v>12</v>
      </c>
      <c r="N140" s="21" t="s">
        <v>9</v>
      </c>
      <c r="O140" s="24" t="s">
        <v>10</v>
      </c>
    </row>
    <row r="141" spans="1:15" x14ac:dyDescent="0.25">
      <c r="J141" s="21" t="s">
        <v>24</v>
      </c>
      <c r="K141" s="24" t="s">
        <v>12</v>
      </c>
      <c r="L141" s="21" t="s">
        <v>20</v>
      </c>
      <c r="M141" s="24" t="s">
        <v>14</v>
      </c>
      <c r="N141" s="21" t="s">
        <v>11</v>
      </c>
      <c r="O141" s="24" t="s">
        <v>12</v>
      </c>
    </row>
    <row r="142" spans="1:15" x14ac:dyDescent="0.25">
      <c r="J142" s="21" t="s">
        <v>25</v>
      </c>
      <c r="K142" s="24" t="s">
        <v>14</v>
      </c>
      <c r="L142" s="21" t="s">
        <v>21</v>
      </c>
      <c r="M142" s="24" t="s">
        <v>16</v>
      </c>
      <c r="N142" s="21"/>
      <c r="O142" s="24"/>
    </row>
    <row r="143" spans="1:15" x14ac:dyDescent="0.25">
      <c r="J143" s="21" t="s">
        <v>26</v>
      </c>
      <c r="K143" s="24" t="s">
        <v>16</v>
      </c>
      <c r="L143" s="21"/>
      <c r="M143" s="24"/>
      <c r="N143" s="21"/>
      <c r="O143" s="24"/>
    </row>
    <row r="144" spans="1:15" x14ac:dyDescent="0.25">
      <c r="A144"/>
      <c r="B144" s="58"/>
      <c r="C144" s="58"/>
      <c r="D144" s="58"/>
      <c r="E144" s="58"/>
      <c r="F144" s="117"/>
      <c r="G144" s="117"/>
      <c r="H144" s="117"/>
      <c r="I144" s="117"/>
      <c r="J144" s="21"/>
      <c r="K144" s="24"/>
      <c r="L144" s="21"/>
      <c r="M144" s="24"/>
      <c r="N144" s="21" t="s">
        <v>17</v>
      </c>
      <c r="O144" s="26">
        <v>0.5</v>
      </c>
    </row>
    <row r="145" spans="1:15" ht="15" x14ac:dyDescent="0.25">
      <c r="A145"/>
      <c r="B145" s="58"/>
      <c r="C145" s="58"/>
      <c r="D145" s="58"/>
      <c r="E145" s="58"/>
      <c r="F145" s="117"/>
      <c r="G145" s="117"/>
      <c r="H145" s="117"/>
      <c r="I145" s="117"/>
      <c r="J145" s="1"/>
      <c r="K145" s="1"/>
    </row>
    <row r="147" spans="1:15" x14ac:dyDescent="0.25">
      <c r="J147" s="75" t="s">
        <v>6</v>
      </c>
      <c r="K147" s="75" t="s">
        <v>5</v>
      </c>
      <c r="L147" s="75" t="s">
        <v>3</v>
      </c>
      <c r="M147" s="75"/>
      <c r="N147" s="75"/>
      <c r="O147" s="75"/>
    </row>
    <row r="148" spans="1:15" x14ac:dyDescent="0.25">
      <c r="J148" s="75" t="s">
        <v>282</v>
      </c>
      <c r="K148" s="75" t="s">
        <v>16</v>
      </c>
      <c r="L148" s="75" t="s">
        <v>217</v>
      </c>
      <c r="M148" s="75" t="s">
        <v>14</v>
      </c>
      <c r="N148" s="75" t="s">
        <v>7</v>
      </c>
      <c r="O148" s="75" t="s">
        <v>218</v>
      </c>
    </row>
    <row r="149" spans="1:15" x14ac:dyDescent="0.25">
      <c r="J149" s="75"/>
      <c r="K149" s="75"/>
      <c r="L149" s="75" t="s">
        <v>219</v>
      </c>
      <c r="M149" s="75" t="s">
        <v>220</v>
      </c>
      <c r="N149" s="75" t="s">
        <v>9</v>
      </c>
      <c r="O149" s="75" t="s">
        <v>14</v>
      </c>
    </row>
    <row r="150" spans="1:15" x14ac:dyDescent="0.25">
      <c r="J150" s="75"/>
      <c r="K150" s="75"/>
      <c r="L150" s="75"/>
      <c r="M150" s="75"/>
      <c r="N150" s="75" t="s">
        <v>11</v>
      </c>
      <c r="O150" s="75" t="s">
        <v>221</v>
      </c>
    </row>
    <row r="151" spans="1:15" x14ac:dyDescent="0.25">
      <c r="J151" s="75"/>
      <c r="K151" s="75"/>
      <c r="L151" s="75"/>
      <c r="M151" s="75"/>
      <c r="N151" s="75" t="s">
        <v>17</v>
      </c>
      <c r="O151" s="75">
        <v>0.5</v>
      </c>
    </row>
    <row r="152" spans="1:15" x14ac:dyDescent="0.25">
      <c r="J152" s="75"/>
      <c r="K152" s="75"/>
      <c r="L152" s="75"/>
      <c r="M152" s="75"/>
      <c r="N152" s="75"/>
      <c r="O152" s="75"/>
    </row>
  </sheetData>
  <autoFilter ref="A1:O1" xr:uid="{00000000-0009-0000-0000-000006000000}">
    <sortState ref="A2:O134">
      <sortCondition descending="1" ref="I1"/>
    </sortState>
  </autoFilter>
  <sortState ref="A2:O134">
    <sortCondition descending="1" ref="I2:I134"/>
  </sortState>
  <mergeCells count="4">
    <mergeCell ref="N138:O138"/>
    <mergeCell ref="L138:M138"/>
    <mergeCell ref="J137:O137"/>
    <mergeCell ref="J138:K138"/>
  </mergeCells>
  <conditionalFormatting sqref="B136:B65539 B83 B33:B34 B1:B4 B36:B81 B6:B31">
    <cfRule type="duplicateValues" dxfId="33" priority="26" stopIfTrue="1"/>
    <cfRule type="duplicateValues" dxfId="32" priority="27" stopIfTrue="1"/>
  </conditionalFormatting>
  <conditionalFormatting sqref="B83 B60:B81">
    <cfRule type="duplicateValues" dxfId="31" priority="142" stopIfTrue="1"/>
  </conditionalFormatting>
  <conditionalFormatting sqref="B84">
    <cfRule type="duplicateValues" dxfId="30" priority="22" stopIfTrue="1"/>
    <cfRule type="duplicateValues" dxfId="29" priority="23" stopIfTrue="1"/>
  </conditionalFormatting>
  <conditionalFormatting sqref="B84">
    <cfRule type="duplicateValues" dxfId="28" priority="24" stopIfTrue="1"/>
  </conditionalFormatting>
  <conditionalFormatting sqref="B85 B87">
    <cfRule type="duplicateValues" dxfId="27" priority="19" stopIfTrue="1"/>
    <cfRule type="duplicateValues" dxfId="26" priority="20" stopIfTrue="1"/>
  </conditionalFormatting>
  <conditionalFormatting sqref="B85 B87">
    <cfRule type="duplicateValues" dxfId="25" priority="21" stopIfTrue="1"/>
  </conditionalFormatting>
  <conditionalFormatting sqref="B86">
    <cfRule type="duplicateValues" dxfId="24" priority="18" stopIfTrue="1"/>
  </conditionalFormatting>
  <conditionalFormatting sqref="B115:B116">
    <cfRule type="duplicateValues" dxfId="23" priority="13" stopIfTrue="1"/>
    <cfRule type="duplicateValues" dxfId="22" priority="14" stopIfTrue="1"/>
  </conditionalFormatting>
  <conditionalFormatting sqref="B115:B116">
    <cfRule type="duplicateValues" dxfId="21" priority="15" stopIfTrue="1"/>
  </conditionalFormatting>
  <conditionalFormatting sqref="B89">
    <cfRule type="duplicateValues" dxfId="20" priority="7" stopIfTrue="1"/>
    <cfRule type="duplicateValues" dxfId="19" priority="8" stopIfTrue="1"/>
    <cfRule type="duplicateValues" dxfId="18" priority="9" stopIfTrue="1"/>
    <cfRule type="duplicateValues" dxfId="17" priority="10" stopIfTrue="1"/>
    <cfRule type="duplicateValues" dxfId="16" priority="11" stopIfTrue="1"/>
    <cfRule type="duplicateValues" dxfId="15" priority="12" stopIfTrue="1"/>
  </conditionalFormatting>
  <conditionalFormatting sqref="B33:B34 B36:B1048576 B1:B4 B6:B31">
    <cfRule type="duplicateValues" dxfId="14" priority="3"/>
    <cfRule type="duplicateValues" dxfId="13" priority="4"/>
    <cfRule type="duplicateValues" dxfId="12" priority="5"/>
  </conditionalFormatting>
  <conditionalFormatting sqref="B5">
    <cfRule type="duplicateValues" dxfId="11" priority="1" stopIfTrue="1"/>
    <cfRule type="duplicateValues" dxfId="10" priority="2" stopIfTrue="1"/>
  </conditionalFormatting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65"/>
  <sheetViews>
    <sheetView zoomScale="80" zoomScaleNormal="80" workbookViewId="0">
      <selection activeCell="K4" sqref="K4"/>
    </sheetView>
  </sheetViews>
  <sheetFormatPr defaultRowHeight="15" x14ac:dyDescent="0.25"/>
  <cols>
    <col min="1" max="1" width="16.7109375" customWidth="1"/>
    <col min="2" max="2" width="22" style="62" customWidth="1"/>
    <col min="3" max="3" width="15.42578125" style="100" customWidth="1"/>
    <col min="4" max="4" width="13.42578125" style="62" customWidth="1"/>
    <col min="5" max="5" width="15.28515625" style="29" customWidth="1"/>
    <col min="6" max="6" width="16" customWidth="1"/>
    <col min="7" max="7" width="10.5703125" customWidth="1"/>
    <col min="9" max="9" width="7.42578125" bestFit="1" customWidth="1"/>
    <col min="10" max="10" width="23.85546875" customWidth="1"/>
    <col min="14" max="14" width="11.42578125" customWidth="1"/>
  </cols>
  <sheetData>
    <row r="1" spans="1:15" ht="44.45" customHeight="1" x14ac:dyDescent="0.25">
      <c r="A1" s="48" t="s">
        <v>27</v>
      </c>
      <c r="B1" s="61" t="s">
        <v>0</v>
      </c>
      <c r="C1" s="99" t="s">
        <v>65</v>
      </c>
      <c r="D1" s="61" t="s">
        <v>1</v>
      </c>
      <c r="E1" s="34" t="s">
        <v>2</v>
      </c>
      <c r="F1" s="61" t="s">
        <v>6</v>
      </c>
      <c r="G1" s="17" t="s">
        <v>5</v>
      </c>
      <c r="H1" s="17" t="s">
        <v>3</v>
      </c>
      <c r="I1" s="16" t="s">
        <v>66</v>
      </c>
    </row>
    <row r="2" spans="1:15" s="31" customFormat="1" ht="78.599999999999994" customHeight="1" x14ac:dyDescent="0.25">
      <c r="A2" s="13"/>
      <c r="B2" s="138" t="s">
        <v>206</v>
      </c>
      <c r="C2" s="151">
        <v>41594</v>
      </c>
      <c r="D2" s="61" t="s">
        <v>197</v>
      </c>
      <c r="E2" s="152" t="s">
        <v>86</v>
      </c>
      <c r="F2" s="81">
        <f>2+2+2+1+1</f>
        <v>8</v>
      </c>
      <c r="G2" s="81">
        <f>1+1+1+1+1</f>
        <v>5</v>
      </c>
      <c r="H2" s="81">
        <f>5+5+0.5+4+4+4</f>
        <v>22.5</v>
      </c>
      <c r="I2" s="81">
        <f t="shared" ref="I2:I42" si="0">F2+G2+H2</f>
        <v>35.5</v>
      </c>
      <c r="J2" s="51"/>
      <c r="K2" s="51"/>
      <c r="L2" s="51"/>
      <c r="M2" s="51"/>
      <c r="N2" s="51"/>
      <c r="O2" s="51"/>
    </row>
    <row r="3" spans="1:15" s="15" customFormat="1" ht="78.599999999999994" customHeight="1" x14ac:dyDescent="0.25">
      <c r="A3" s="77"/>
      <c r="B3" s="138" t="s">
        <v>212</v>
      </c>
      <c r="C3" s="140">
        <v>41594</v>
      </c>
      <c r="D3" s="61" t="s">
        <v>197</v>
      </c>
      <c r="E3" s="152" t="s">
        <v>86</v>
      </c>
      <c r="F3" s="81">
        <f>2+2+2+1+1</f>
        <v>8</v>
      </c>
      <c r="G3" s="81">
        <f>1+2+1+2+1</f>
        <v>7</v>
      </c>
      <c r="H3" s="81">
        <f>0.5+5+4+4+3+4</f>
        <v>20.5</v>
      </c>
      <c r="I3" s="81">
        <f t="shared" si="0"/>
        <v>35.5</v>
      </c>
      <c r="J3" s="31"/>
      <c r="K3" s="31"/>
      <c r="L3" s="31"/>
      <c r="M3" s="31"/>
      <c r="N3" s="31"/>
      <c r="O3" s="31"/>
    </row>
    <row r="4" spans="1:15" s="15" customFormat="1" ht="78.599999999999994" customHeight="1" x14ac:dyDescent="0.25">
      <c r="A4" s="77"/>
      <c r="B4" s="138" t="s">
        <v>171</v>
      </c>
      <c r="C4" s="140">
        <v>41711</v>
      </c>
      <c r="D4" s="138" t="s">
        <v>40</v>
      </c>
      <c r="E4" s="152" t="s">
        <v>50</v>
      </c>
      <c r="F4" s="81">
        <f>2+2+1</f>
        <v>5</v>
      </c>
      <c r="G4" s="81">
        <f>3+3+3</f>
        <v>9</v>
      </c>
      <c r="H4" s="81">
        <f>4+4+4</f>
        <v>12</v>
      </c>
      <c r="I4" s="81">
        <f t="shared" si="0"/>
        <v>26</v>
      </c>
    </row>
    <row r="5" spans="1:15" s="15" customFormat="1" ht="78.599999999999994" customHeight="1" x14ac:dyDescent="0.25">
      <c r="A5" s="66"/>
      <c r="B5" s="153" t="s">
        <v>242</v>
      </c>
      <c r="C5" s="139">
        <v>41780</v>
      </c>
      <c r="D5" s="61" t="s">
        <v>132</v>
      </c>
      <c r="E5" s="137" t="s">
        <v>247</v>
      </c>
      <c r="F5" s="67">
        <f>1+2+2+1</f>
        <v>6</v>
      </c>
      <c r="G5" s="67">
        <f>0.5+1+1+1</f>
        <v>3.5</v>
      </c>
      <c r="H5" s="67">
        <f>2+4+5+5</f>
        <v>16</v>
      </c>
      <c r="I5" s="67">
        <f t="shared" si="0"/>
        <v>25.5</v>
      </c>
    </row>
    <row r="6" spans="1:15" s="15" customFormat="1" ht="78.599999999999994" customHeight="1" x14ac:dyDescent="0.25">
      <c r="A6" s="66"/>
      <c r="B6" s="153" t="s">
        <v>243</v>
      </c>
      <c r="C6" s="139">
        <v>41899</v>
      </c>
      <c r="D6" s="61" t="s">
        <v>132</v>
      </c>
      <c r="E6" s="137" t="s">
        <v>247</v>
      </c>
      <c r="F6" s="67">
        <f>1+2+2+1</f>
        <v>6</v>
      </c>
      <c r="G6" s="67">
        <f>0.5+1+1+1</f>
        <v>3.5</v>
      </c>
      <c r="H6" s="67">
        <f>2+4+5+5</f>
        <v>16</v>
      </c>
      <c r="I6" s="67">
        <f t="shared" si="0"/>
        <v>25.5</v>
      </c>
    </row>
    <row r="7" spans="1:15" s="15" customFormat="1" ht="78.599999999999994" customHeight="1" x14ac:dyDescent="0.25">
      <c r="A7" s="76"/>
      <c r="B7" s="96" t="s">
        <v>158</v>
      </c>
      <c r="C7" s="97">
        <v>42021</v>
      </c>
      <c r="D7" s="96" t="s">
        <v>132</v>
      </c>
      <c r="E7" s="89" t="s">
        <v>247</v>
      </c>
      <c r="F7" s="90">
        <f>1+2+2+1</f>
        <v>6</v>
      </c>
      <c r="G7" s="90">
        <f>2+1+1+1</f>
        <v>5</v>
      </c>
      <c r="H7" s="90">
        <f>2+4+5+3</f>
        <v>14</v>
      </c>
      <c r="I7" s="81">
        <f t="shared" si="0"/>
        <v>25</v>
      </c>
      <c r="J7" s="51"/>
      <c r="K7" s="51"/>
      <c r="L7" s="51"/>
      <c r="M7" s="51"/>
      <c r="N7" s="51"/>
      <c r="O7" s="51"/>
    </row>
    <row r="8" spans="1:15" s="15" customFormat="1" ht="78.599999999999994" customHeight="1" x14ac:dyDescent="0.25">
      <c r="A8" s="76"/>
      <c r="B8" s="96" t="s">
        <v>203</v>
      </c>
      <c r="C8" s="97">
        <v>41863</v>
      </c>
      <c r="D8" s="101" t="s">
        <v>40</v>
      </c>
      <c r="E8" s="95" t="s">
        <v>172</v>
      </c>
      <c r="F8" s="90">
        <f>2+2+0.5</f>
        <v>4.5</v>
      </c>
      <c r="G8" s="90">
        <f>2+3+1</f>
        <v>6</v>
      </c>
      <c r="H8" s="90">
        <f>5+5+1</f>
        <v>11</v>
      </c>
      <c r="I8" s="81">
        <f t="shared" si="0"/>
        <v>21.5</v>
      </c>
    </row>
    <row r="9" spans="1:15" s="15" customFormat="1" ht="78.599999999999994" customHeight="1" x14ac:dyDescent="0.25">
      <c r="A9" s="77"/>
      <c r="B9" s="87" t="s">
        <v>81</v>
      </c>
      <c r="C9" s="88">
        <v>41593</v>
      </c>
      <c r="D9" s="96" t="s">
        <v>57</v>
      </c>
      <c r="E9" s="36" t="s">
        <v>331</v>
      </c>
      <c r="F9" s="90">
        <f>2+1+1</f>
        <v>4</v>
      </c>
      <c r="G9" s="90">
        <f>1+0.5+1</f>
        <v>2.5</v>
      </c>
      <c r="H9" s="90">
        <f>3+0.5+0.5+2.5+0.5+3</f>
        <v>10</v>
      </c>
      <c r="I9" s="81">
        <f t="shared" si="0"/>
        <v>16.5</v>
      </c>
      <c r="J9" s="58"/>
      <c r="K9" s="58"/>
      <c r="L9" s="58"/>
      <c r="M9" s="58"/>
      <c r="N9" s="58"/>
      <c r="O9" s="58"/>
    </row>
    <row r="10" spans="1:15" s="15" customFormat="1" ht="78.599999999999994" customHeight="1" x14ac:dyDescent="0.25">
      <c r="A10" s="77"/>
      <c r="B10" s="87" t="s">
        <v>241</v>
      </c>
      <c r="C10" s="97">
        <v>41716</v>
      </c>
      <c r="D10" s="96" t="s">
        <v>132</v>
      </c>
      <c r="E10" s="89" t="s">
        <v>247</v>
      </c>
      <c r="F10" s="90">
        <f>1+2+1</f>
        <v>4</v>
      </c>
      <c r="G10" s="90">
        <f>2+1+0.5</f>
        <v>3.5</v>
      </c>
      <c r="H10" s="90">
        <f>2+4+2</f>
        <v>8</v>
      </c>
      <c r="I10" s="81">
        <f t="shared" si="0"/>
        <v>15.5</v>
      </c>
      <c r="J10" s="58"/>
      <c r="K10" s="58"/>
      <c r="L10" s="58"/>
      <c r="M10" s="58"/>
      <c r="N10" s="58"/>
      <c r="O10" s="58"/>
    </row>
    <row r="11" spans="1:15" s="15" customFormat="1" ht="78.599999999999994" customHeight="1" x14ac:dyDescent="0.25">
      <c r="A11" s="76"/>
      <c r="B11" s="96" t="s">
        <v>185</v>
      </c>
      <c r="C11" s="97">
        <v>42015</v>
      </c>
      <c r="D11" s="101" t="s">
        <v>36</v>
      </c>
      <c r="E11" s="95" t="s">
        <v>184</v>
      </c>
      <c r="F11" s="90">
        <f>2+1</f>
        <v>3</v>
      </c>
      <c r="G11" s="37">
        <f>1+2</f>
        <v>3</v>
      </c>
      <c r="H11" s="37">
        <f>5+4</f>
        <v>9</v>
      </c>
      <c r="I11" s="17">
        <f t="shared" si="0"/>
        <v>15</v>
      </c>
      <c r="J11" s="51"/>
      <c r="K11" s="51"/>
      <c r="L11" s="51"/>
      <c r="M11" s="51"/>
      <c r="N11" s="51"/>
      <c r="O11" s="51"/>
    </row>
    <row r="12" spans="1:15" s="15" customFormat="1" ht="78.599999999999994" customHeight="1" x14ac:dyDescent="0.25">
      <c r="A12" s="77"/>
      <c r="B12" s="87" t="s">
        <v>284</v>
      </c>
      <c r="C12" s="88">
        <v>42077</v>
      </c>
      <c r="D12" s="96" t="s">
        <v>40</v>
      </c>
      <c r="E12" s="89" t="s">
        <v>175</v>
      </c>
      <c r="F12" s="90">
        <f>2+1+0.5</f>
        <v>3.5</v>
      </c>
      <c r="G12" s="37">
        <f>1+1+0</f>
        <v>2</v>
      </c>
      <c r="H12" s="37">
        <f>4+4+0.5</f>
        <v>8.5</v>
      </c>
      <c r="I12" s="17">
        <f t="shared" si="0"/>
        <v>14</v>
      </c>
    </row>
    <row r="13" spans="1:15" s="15" customFormat="1" ht="78.599999999999994" customHeight="1" x14ac:dyDescent="0.25">
      <c r="A13" s="76"/>
      <c r="B13" s="96" t="s">
        <v>107</v>
      </c>
      <c r="C13" s="97">
        <v>42132</v>
      </c>
      <c r="D13" s="96" t="s">
        <v>40</v>
      </c>
      <c r="E13" s="36" t="s">
        <v>44</v>
      </c>
      <c r="F13" s="90">
        <f>2+1</f>
        <v>3</v>
      </c>
      <c r="G13" s="90">
        <f>2+2</f>
        <v>4</v>
      </c>
      <c r="H13" s="90">
        <f>3+3</f>
        <v>6</v>
      </c>
      <c r="I13" s="81">
        <f t="shared" si="0"/>
        <v>13</v>
      </c>
    </row>
    <row r="14" spans="1:15" s="15" customFormat="1" ht="78.599999999999994" customHeight="1" x14ac:dyDescent="0.25">
      <c r="A14" s="77"/>
      <c r="B14" s="87" t="s">
        <v>285</v>
      </c>
      <c r="C14" s="88">
        <v>42536</v>
      </c>
      <c r="D14" s="96" t="s">
        <v>31</v>
      </c>
      <c r="E14" s="89" t="s">
        <v>51</v>
      </c>
      <c r="F14" s="90">
        <f>2+1</f>
        <v>3</v>
      </c>
      <c r="G14" s="90">
        <f>1+1</f>
        <v>2</v>
      </c>
      <c r="H14" s="90">
        <f>3+3</f>
        <v>6</v>
      </c>
      <c r="I14" s="81">
        <f t="shared" si="0"/>
        <v>11</v>
      </c>
    </row>
    <row r="15" spans="1:15" s="15" customFormat="1" ht="78.599999999999994" customHeight="1" x14ac:dyDescent="0.25">
      <c r="A15" s="77"/>
      <c r="B15" s="87" t="s">
        <v>286</v>
      </c>
      <c r="C15" s="88">
        <v>41630</v>
      </c>
      <c r="D15" s="96" t="s">
        <v>31</v>
      </c>
      <c r="E15" s="89" t="s">
        <v>32</v>
      </c>
      <c r="F15" s="90">
        <f>2+1</f>
        <v>3</v>
      </c>
      <c r="G15" s="90">
        <f>1+1</f>
        <v>2</v>
      </c>
      <c r="H15" s="90">
        <f>3+3</f>
        <v>6</v>
      </c>
      <c r="I15" s="81">
        <f t="shared" si="0"/>
        <v>11</v>
      </c>
    </row>
    <row r="16" spans="1:15" s="15" customFormat="1" ht="78.599999999999994" customHeight="1" x14ac:dyDescent="0.25">
      <c r="A16" s="76"/>
      <c r="B16" s="96" t="s">
        <v>108</v>
      </c>
      <c r="C16" s="97">
        <v>41753</v>
      </c>
      <c r="D16" s="96" t="s">
        <v>57</v>
      </c>
      <c r="E16" s="89" t="s">
        <v>331</v>
      </c>
      <c r="F16" s="37">
        <f>1+1</f>
        <v>2</v>
      </c>
      <c r="G16" s="37">
        <f>0.5+1</f>
        <v>1.5</v>
      </c>
      <c r="H16" s="37">
        <f>0.5+0.5+0.5+2.5+0.5+3</f>
        <v>7.5</v>
      </c>
      <c r="I16" s="17">
        <f t="shared" si="0"/>
        <v>11</v>
      </c>
    </row>
    <row r="17" spans="1:15" s="15" customFormat="1" ht="78.599999999999994" customHeight="1" x14ac:dyDescent="0.25">
      <c r="A17" s="77"/>
      <c r="B17" s="87" t="s">
        <v>228</v>
      </c>
      <c r="C17" s="97">
        <v>42569</v>
      </c>
      <c r="D17" s="96" t="s">
        <v>168</v>
      </c>
      <c r="E17" s="89" t="s">
        <v>113</v>
      </c>
      <c r="F17" s="90">
        <f>1+2</f>
        <v>3</v>
      </c>
      <c r="G17" s="90">
        <f>2+1</f>
        <v>3</v>
      </c>
      <c r="H17" s="90">
        <f>1.5+3</f>
        <v>4.5</v>
      </c>
      <c r="I17" s="81">
        <f t="shared" si="0"/>
        <v>10.5</v>
      </c>
    </row>
    <row r="18" spans="1:15" s="15" customFormat="1" ht="78.599999999999994" customHeight="1" x14ac:dyDescent="0.25">
      <c r="A18" s="77"/>
      <c r="B18" s="87" t="s">
        <v>222</v>
      </c>
      <c r="C18" s="97">
        <v>42050</v>
      </c>
      <c r="D18" s="96" t="s">
        <v>168</v>
      </c>
      <c r="E18" s="89" t="s">
        <v>113</v>
      </c>
      <c r="F18" s="90">
        <f>1+1</f>
        <v>2</v>
      </c>
      <c r="G18" s="90">
        <f>2+2</f>
        <v>4</v>
      </c>
      <c r="H18" s="90">
        <f>2.5+1.5+0.5</f>
        <v>4.5</v>
      </c>
      <c r="I18" s="81">
        <f t="shared" si="0"/>
        <v>10.5</v>
      </c>
    </row>
    <row r="19" spans="1:15" s="15" customFormat="1" ht="78.599999999999994" customHeight="1" x14ac:dyDescent="0.25">
      <c r="A19" s="66"/>
      <c r="B19" s="69" t="s">
        <v>244</v>
      </c>
      <c r="C19" s="97">
        <v>41447</v>
      </c>
      <c r="D19" s="96" t="s">
        <v>132</v>
      </c>
      <c r="E19" s="89" t="s">
        <v>247</v>
      </c>
      <c r="F19" s="21">
        <f>1+2</f>
        <v>3</v>
      </c>
      <c r="G19" s="21">
        <f>2+1</f>
        <v>3</v>
      </c>
      <c r="H19" s="21">
        <f>1.5+3</f>
        <v>4.5</v>
      </c>
      <c r="I19" s="67">
        <f t="shared" si="0"/>
        <v>10.5</v>
      </c>
    </row>
    <row r="20" spans="1:15" s="15" customFormat="1" ht="78.599999999999994" customHeight="1" x14ac:dyDescent="0.25">
      <c r="A20" s="66"/>
      <c r="B20" s="69" t="s">
        <v>160</v>
      </c>
      <c r="C20" s="97">
        <v>41408</v>
      </c>
      <c r="D20" s="96" t="s">
        <v>132</v>
      </c>
      <c r="E20" s="89" t="s">
        <v>247</v>
      </c>
      <c r="F20" s="21">
        <f>1+2</f>
        <v>3</v>
      </c>
      <c r="G20" s="21">
        <f>2+1</f>
        <v>3</v>
      </c>
      <c r="H20" s="21">
        <f>1.5+3</f>
        <v>4.5</v>
      </c>
      <c r="I20" s="67">
        <f t="shared" si="0"/>
        <v>10.5</v>
      </c>
    </row>
    <row r="21" spans="1:15" s="15" customFormat="1" ht="78.599999999999994" customHeight="1" x14ac:dyDescent="0.25">
      <c r="A21" s="66"/>
      <c r="B21" s="69" t="s">
        <v>239</v>
      </c>
      <c r="C21" s="88">
        <v>41829</v>
      </c>
      <c r="D21" s="68" t="s">
        <v>57</v>
      </c>
      <c r="E21" s="129" t="s">
        <v>38</v>
      </c>
      <c r="F21" s="21">
        <f>1+1</f>
        <v>2</v>
      </c>
      <c r="G21" s="21">
        <f>2+1</f>
        <v>3</v>
      </c>
      <c r="H21" s="21">
        <f>0.5+1.5+0.5+3</f>
        <v>5.5</v>
      </c>
      <c r="I21" s="67">
        <f t="shared" si="0"/>
        <v>10.5</v>
      </c>
    </row>
    <row r="22" spans="1:15" s="51" customFormat="1" ht="78.599999999999994" customHeight="1" x14ac:dyDescent="0.25">
      <c r="A22" s="77"/>
      <c r="B22" s="87" t="s">
        <v>67</v>
      </c>
      <c r="C22" s="88">
        <v>41934</v>
      </c>
      <c r="D22" s="96" t="s">
        <v>31</v>
      </c>
      <c r="E22" s="89" t="s">
        <v>51</v>
      </c>
      <c r="F22" s="90">
        <f>2</f>
        <v>2</v>
      </c>
      <c r="G22" s="90">
        <f>2</f>
        <v>2</v>
      </c>
      <c r="H22" s="90">
        <f>0.5+5+0.5</f>
        <v>6</v>
      </c>
      <c r="I22" s="81">
        <f t="shared" si="0"/>
        <v>10</v>
      </c>
    </row>
    <row r="23" spans="1:15" s="51" customFormat="1" ht="78.599999999999994" customHeight="1" x14ac:dyDescent="0.25">
      <c r="A23" s="76"/>
      <c r="B23" s="96" t="s">
        <v>208</v>
      </c>
      <c r="C23" s="121">
        <v>41541</v>
      </c>
      <c r="D23" s="96" t="s">
        <v>57</v>
      </c>
      <c r="E23" s="89" t="s">
        <v>38</v>
      </c>
      <c r="F23" s="90">
        <f>1+1</f>
        <v>2</v>
      </c>
      <c r="G23" s="90">
        <f>2+0.5</f>
        <v>2.5</v>
      </c>
      <c r="H23" s="90">
        <f>2.5+2</f>
        <v>4.5</v>
      </c>
      <c r="I23" s="81">
        <f t="shared" si="0"/>
        <v>9</v>
      </c>
    </row>
    <row r="24" spans="1:15" s="51" customFormat="1" ht="78.599999999999994" customHeight="1" x14ac:dyDescent="0.25">
      <c r="A24" s="77"/>
      <c r="B24" s="87" t="s">
        <v>56</v>
      </c>
      <c r="C24" s="88">
        <v>41495</v>
      </c>
      <c r="D24" s="87" t="s">
        <v>40</v>
      </c>
      <c r="E24" s="35" t="s">
        <v>251</v>
      </c>
      <c r="F24" s="37">
        <f>2</f>
        <v>2</v>
      </c>
      <c r="G24" s="37">
        <f>3</f>
        <v>3</v>
      </c>
      <c r="H24" s="37">
        <f>3</f>
        <v>3</v>
      </c>
      <c r="I24" s="17">
        <f t="shared" si="0"/>
        <v>8</v>
      </c>
    </row>
    <row r="25" spans="1:15" s="51" customFormat="1" ht="78.599999999999994" customHeight="1" x14ac:dyDescent="0.25">
      <c r="A25" s="76"/>
      <c r="B25" s="96" t="s">
        <v>186</v>
      </c>
      <c r="C25" s="97">
        <v>41689</v>
      </c>
      <c r="D25" s="101" t="s">
        <v>40</v>
      </c>
      <c r="E25" s="95" t="s">
        <v>172</v>
      </c>
      <c r="F25" s="90">
        <f>2</f>
        <v>2</v>
      </c>
      <c r="G25" s="90">
        <f>1</f>
        <v>1</v>
      </c>
      <c r="H25" s="90">
        <f>5</f>
        <v>5</v>
      </c>
      <c r="I25" s="17">
        <f t="shared" si="0"/>
        <v>8</v>
      </c>
    </row>
    <row r="26" spans="1:15" s="58" customFormat="1" ht="78.599999999999994" customHeight="1" x14ac:dyDescent="0.25">
      <c r="A26" s="128"/>
      <c r="B26" s="98" t="s">
        <v>250</v>
      </c>
      <c r="C26" s="91">
        <v>41569</v>
      </c>
      <c r="D26" s="71" t="s">
        <v>31</v>
      </c>
      <c r="E26" s="130" t="s">
        <v>51</v>
      </c>
      <c r="F26" s="131">
        <f>2</f>
        <v>2</v>
      </c>
      <c r="G26" s="131">
        <f>1</f>
        <v>1</v>
      </c>
      <c r="H26" s="131">
        <f>4+0.5+0.5</f>
        <v>5</v>
      </c>
      <c r="I26" s="81">
        <f t="shared" si="0"/>
        <v>8</v>
      </c>
      <c r="J26" s="51"/>
      <c r="K26" s="51"/>
      <c r="L26" s="51"/>
      <c r="M26" s="51"/>
      <c r="N26" s="51"/>
      <c r="O26" s="51"/>
    </row>
    <row r="27" spans="1:15" s="58" customFormat="1" ht="78.599999999999994" customHeight="1" x14ac:dyDescent="0.25">
      <c r="A27" s="77"/>
      <c r="B27" s="87" t="s">
        <v>248</v>
      </c>
      <c r="C27" s="88">
        <v>41787</v>
      </c>
      <c r="D27" s="96" t="s">
        <v>40</v>
      </c>
      <c r="E27" s="89" t="s">
        <v>175</v>
      </c>
      <c r="F27" s="90">
        <f>1</f>
        <v>1</v>
      </c>
      <c r="G27" s="90">
        <f>1</f>
        <v>1</v>
      </c>
      <c r="H27" s="90">
        <f>0.5+0.5+5</f>
        <v>6</v>
      </c>
      <c r="I27" s="17">
        <f t="shared" si="0"/>
        <v>8</v>
      </c>
      <c r="J27" s="51"/>
      <c r="K27" s="51"/>
      <c r="L27" s="51"/>
      <c r="M27" s="51"/>
      <c r="N27" s="51"/>
      <c r="O27" s="51"/>
    </row>
    <row r="28" spans="1:15" s="58" customFormat="1" ht="78.599999999999994" customHeight="1" x14ac:dyDescent="0.25">
      <c r="A28" s="13"/>
      <c r="B28" s="45" t="s">
        <v>85</v>
      </c>
      <c r="C28" s="88">
        <v>41486</v>
      </c>
      <c r="D28" s="96" t="s">
        <v>31</v>
      </c>
      <c r="E28" s="36" t="s">
        <v>51</v>
      </c>
      <c r="F28" s="37">
        <f>2</f>
        <v>2</v>
      </c>
      <c r="G28" s="37">
        <f>2</f>
        <v>2</v>
      </c>
      <c r="H28" s="37">
        <f>3</f>
        <v>3</v>
      </c>
      <c r="I28" s="17">
        <f t="shared" si="0"/>
        <v>7</v>
      </c>
      <c r="J28" s="51"/>
      <c r="K28" s="51"/>
      <c r="L28" s="51"/>
      <c r="M28" s="51"/>
      <c r="N28" s="51"/>
      <c r="O28" s="51"/>
    </row>
    <row r="29" spans="1:15" s="58" customFormat="1" ht="78.599999999999994" customHeight="1" x14ac:dyDescent="0.25">
      <c r="A29" s="76"/>
      <c r="B29" s="87" t="s">
        <v>304</v>
      </c>
      <c r="C29" s="97">
        <v>42448</v>
      </c>
      <c r="D29" s="96" t="s">
        <v>197</v>
      </c>
      <c r="E29" s="89" t="s">
        <v>86</v>
      </c>
      <c r="F29" s="93">
        <f>1</f>
        <v>1</v>
      </c>
      <c r="G29" s="93">
        <f>1</f>
        <v>1</v>
      </c>
      <c r="H29" s="93">
        <f>5</f>
        <v>5</v>
      </c>
      <c r="I29" s="17">
        <f t="shared" si="0"/>
        <v>7</v>
      </c>
      <c r="J29" s="51"/>
      <c r="K29" s="51"/>
      <c r="L29" s="51"/>
      <c r="M29" s="51"/>
      <c r="N29" s="51"/>
      <c r="O29" s="51"/>
    </row>
    <row r="30" spans="1:15" s="58" customFormat="1" ht="78.599999999999994" customHeight="1" x14ac:dyDescent="0.25">
      <c r="A30" s="76"/>
      <c r="B30" s="87" t="s">
        <v>305</v>
      </c>
      <c r="C30" s="97">
        <v>41951</v>
      </c>
      <c r="D30" s="101" t="s">
        <v>40</v>
      </c>
      <c r="E30" s="95" t="s">
        <v>172</v>
      </c>
      <c r="F30" s="93">
        <f>1</f>
        <v>1</v>
      </c>
      <c r="G30" s="93">
        <f>1</f>
        <v>1</v>
      </c>
      <c r="H30" s="93">
        <f>5</f>
        <v>5</v>
      </c>
      <c r="I30" s="81">
        <f t="shared" si="0"/>
        <v>7</v>
      </c>
      <c r="J30" s="51"/>
      <c r="K30" s="51"/>
      <c r="L30" s="51"/>
      <c r="M30" s="51"/>
      <c r="N30" s="51"/>
      <c r="O30" s="51"/>
    </row>
    <row r="31" spans="1:15" s="58" customFormat="1" ht="78.599999999999994" customHeight="1" x14ac:dyDescent="0.25">
      <c r="A31" s="77"/>
      <c r="B31" s="87" t="s">
        <v>302</v>
      </c>
      <c r="C31" s="88">
        <v>42422</v>
      </c>
      <c r="D31" s="96" t="s">
        <v>197</v>
      </c>
      <c r="E31" s="89" t="s">
        <v>86</v>
      </c>
      <c r="F31" s="90">
        <f>1</f>
        <v>1</v>
      </c>
      <c r="G31" s="90">
        <f>1</f>
        <v>1</v>
      </c>
      <c r="H31" s="90">
        <f>0.5+4</f>
        <v>4.5</v>
      </c>
      <c r="I31" s="17">
        <f t="shared" si="0"/>
        <v>6.5</v>
      </c>
      <c r="J31" s="51"/>
      <c r="K31" s="51"/>
      <c r="L31" s="51"/>
      <c r="M31" s="51"/>
      <c r="N31" s="51"/>
      <c r="O31" s="51"/>
    </row>
    <row r="32" spans="1:15" s="51" customFormat="1" ht="79.900000000000006" customHeight="1" x14ac:dyDescent="0.25">
      <c r="A32" s="77"/>
      <c r="B32" s="87" t="s">
        <v>223</v>
      </c>
      <c r="C32" s="97">
        <v>42461</v>
      </c>
      <c r="D32" s="96" t="s">
        <v>168</v>
      </c>
      <c r="E32" s="89" t="s">
        <v>113</v>
      </c>
      <c r="F32" s="37">
        <f>1</f>
        <v>1</v>
      </c>
      <c r="G32" s="37">
        <f>2</f>
        <v>2</v>
      </c>
      <c r="H32" s="37">
        <v>2</v>
      </c>
      <c r="I32" s="17">
        <f t="shared" si="0"/>
        <v>5</v>
      </c>
    </row>
    <row r="33" spans="1:15" s="51" customFormat="1" ht="79.900000000000006" customHeight="1" x14ac:dyDescent="0.25">
      <c r="A33" s="66"/>
      <c r="B33" s="69" t="s">
        <v>196</v>
      </c>
      <c r="C33" s="97">
        <v>41768</v>
      </c>
      <c r="D33" s="68" t="s">
        <v>168</v>
      </c>
      <c r="E33" s="65" t="s">
        <v>113</v>
      </c>
      <c r="F33" s="21">
        <f>1+0.5</f>
        <v>1.5</v>
      </c>
      <c r="G33" s="21">
        <f>0.5+0</f>
        <v>0.5</v>
      </c>
      <c r="H33" s="21">
        <f>2+0.5+0.5+0</f>
        <v>3</v>
      </c>
      <c r="I33" s="67">
        <f t="shared" si="0"/>
        <v>5</v>
      </c>
    </row>
    <row r="34" spans="1:15" s="51" customFormat="1" ht="79.900000000000006" customHeight="1" x14ac:dyDescent="0.25">
      <c r="A34" s="75"/>
      <c r="B34" s="94" t="s">
        <v>281</v>
      </c>
      <c r="C34" s="88">
        <v>41848</v>
      </c>
      <c r="D34" s="96" t="s">
        <v>36</v>
      </c>
      <c r="E34" s="89" t="s">
        <v>71</v>
      </c>
      <c r="F34" s="90">
        <f>1</f>
        <v>1</v>
      </c>
      <c r="G34" s="90">
        <f>0.5</f>
        <v>0.5</v>
      </c>
      <c r="H34" s="90">
        <f>2.5</f>
        <v>2.5</v>
      </c>
      <c r="I34" s="81">
        <f t="shared" si="0"/>
        <v>4</v>
      </c>
    </row>
    <row r="35" spans="1:15" s="51" customFormat="1" ht="79.900000000000006" customHeight="1" x14ac:dyDescent="0.25">
      <c r="A35" s="76"/>
      <c r="B35" s="87" t="s">
        <v>131</v>
      </c>
      <c r="C35" s="97">
        <v>41811</v>
      </c>
      <c r="D35" s="96" t="s">
        <v>168</v>
      </c>
      <c r="E35" s="89" t="s">
        <v>113</v>
      </c>
      <c r="F35" s="93"/>
      <c r="G35" s="93"/>
      <c r="H35" s="93">
        <f>0.5+0.5</f>
        <v>1</v>
      </c>
      <c r="I35" s="17">
        <f t="shared" si="0"/>
        <v>1</v>
      </c>
    </row>
    <row r="36" spans="1:15" s="51" customFormat="1" ht="79.900000000000006" customHeight="1" x14ac:dyDescent="0.25">
      <c r="A36" s="77"/>
      <c r="B36" s="87" t="s">
        <v>127</v>
      </c>
      <c r="C36" s="88">
        <v>41545</v>
      </c>
      <c r="D36" s="87" t="s">
        <v>40</v>
      </c>
      <c r="E36" s="89" t="s">
        <v>251</v>
      </c>
      <c r="F36" s="90"/>
      <c r="G36" s="90"/>
      <c r="H36" s="90">
        <f>0.5+0.5</f>
        <v>1</v>
      </c>
      <c r="I36" s="17">
        <f t="shared" si="0"/>
        <v>1</v>
      </c>
    </row>
    <row r="37" spans="1:15" s="58" customFormat="1" ht="78.599999999999994" customHeight="1" x14ac:dyDescent="0.25">
      <c r="A37" s="76"/>
      <c r="B37" s="40" t="s">
        <v>157</v>
      </c>
      <c r="C37" s="97">
        <v>41716</v>
      </c>
      <c r="D37" s="96" t="s">
        <v>132</v>
      </c>
      <c r="E37" s="35" t="s">
        <v>247</v>
      </c>
      <c r="F37" s="37"/>
      <c r="G37" s="37"/>
      <c r="H37" s="37">
        <f>0.5</f>
        <v>0.5</v>
      </c>
      <c r="I37" s="17">
        <f t="shared" si="0"/>
        <v>0.5</v>
      </c>
      <c r="J37" s="51"/>
      <c r="K37" s="51"/>
      <c r="L37" s="51"/>
      <c r="M37" s="51"/>
      <c r="N37" s="51"/>
      <c r="O37" s="51"/>
    </row>
    <row r="38" spans="1:15" s="58" customFormat="1" ht="78.599999999999994" customHeight="1" x14ac:dyDescent="0.25">
      <c r="A38" s="77"/>
      <c r="B38" s="87" t="s">
        <v>249</v>
      </c>
      <c r="C38" s="88">
        <v>42154</v>
      </c>
      <c r="D38" s="96" t="s">
        <v>40</v>
      </c>
      <c r="E38" s="36" t="s">
        <v>44</v>
      </c>
      <c r="F38" s="37"/>
      <c r="G38" s="37"/>
      <c r="H38" s="37">
        <f>0.5</f>
        <v>0.5</v>
      </c>
      <c r="I38" s="17">
        <f t="shared" si="0"/>
        <v>0.5</v>
      </c>
      <c r="J38" s="51"/>
      <c r="K38" s="51"/>
      <c r="L38" s="51"/>
      <c r="M38" s="51"/>
      <c r="N38" s="51"/>
      <c r="O38" s="51"/>
    </row>
    <row r="39" spans="1:15" s="58" customFormat="1" ht="78.599999999999994" customHeight="1" x14ac:dyDescent="0.25">
      <c r="A39" s="90"/>
      <c r="B39" s="96" t="s">
        <v>207</v>
      </c>
      <c r="C39" s="97">
        <v>41943</v>
      </c>
      <c r="D39" s="96" t="s">
        <v>197</v>
      </c>
      <c r="E39" s="35" t="s">
        <v>28</v>
      </c>
      <c r="F39" s="90"/>
      <c r="G39" s="90"/>
      <c r="H39" s="90"/>
      <c r="I39" s="17">
        <f t="shared" si="0"/>
        <v>0</v>
      </c>
      <c r="J39" s="51"/>
      <c r="K39" s="51"/>
      <c r="L39" s="51"/>
      <c r="M39" s="51"/>
      <c r="N39" s="51"/>
      <c r="O39" s="51"/>
    </row>
    <row r="40" spans="1:15" s="51" customFormat="1" ht="80.099999999999994" customHeight="1" x14ac:dyDescent="0.25">
      <c r="A40" s="76"/>
      <c r="B40" s="96" t="s">
        <v>209</v>
      </c>
      <c r="C40" s="97">
        <v>41790</v>
      </c>
      <c r="D40" s="96" t="s">
        <v>57</v>
      </c>
      <c r="E40" s="89" t="s">
        <v>38</v>
      </c>
      <c r="F40" s="90"/>
      <c r="G40" s="90"/>
      <c r="H40" s="90"/>
      <c r="I40" s="81">
        <f t="shared" si="0"/>
        <v>0</v>
      </c>
    </row>
    <row r="41" spans="1:15" s="51" customFormat="1" ht="80.099999999999994" customHeight="1" x14ac:dyDescent="0.25">
      <c r="A41" s="76"/>
      <c r="B41" s="87" t="s">
        <v>130</v>
      </c>
      <c r="C41" s="97">
        <v>42461</v>
      </c>
      <c r="D41" s="96" t="s">
        <v>168</v>
      </c>
      <c r="E41" s="89" t="s">
        <v>113</v>
      </c>
      <c r="F41" s="93"/>
      <c r="G41" s="93"/>
      <c r="H41" s="93"/>
      <c r="I41" s="81">
        <f t="shared" si="0"/>
        <v>0</v>
      </c>
    </row>
    <row r="42" spans="1:15" s="51" customFormat="1" ht="80.099999999999994" customHeight="1" x14ac:dyDescent="0.25">
      <c r="A42" s="76"/>
      <c r="B42" s="87" t="s">
        <v>133</v>
      </c>
      <c r="C42" s="97">
        <v>41977</v>
      </c>
      <c r="D42" s="96" t="s">
        <v>36</v>
      </c>
      <c r="E42" s="89" t="s">
        <v>71</v>
      </c>
      <c r="F42" s="93"/>
      <c r="G42" s="93"/>
      <c r="H42" s="93"/>
      <c r="I42" s="81">
        <f t="shared" si="0"/>
        <v>0</v>
      </c>
    </row>
    <row r="43" spans="1:15" s="51" customFormat="1" ht="80.099999999999994" customHeight="1" x14ac:dyDescent="0.25">
      <c r="A43" s="9"/>
      <c r="B43" s="73"/>
      <c r="C43" s="125"/>
      <c r="D43" s="102"/>
      <c r="E43" s="44"/>
      <c r="F43" s="126"/>
      <c r="G43" s="126"/>
      <c r="H43" s="126"/>
      <c r="I43" s="60"/>
    </row>
    <row r="44" spans="1:15" s="51" customFormat="1" ht="80.099999999999994" customHeight="1" x14ac:dyDescent="0.25">
      <c r="A44" s="72"/>
      <c r="B44" s="73"/>
      <c r="C44" s="70"/>
      <c r="D44" s="102"/>
      <c r="E44" s="44"/>
      <c r="F44" s="43"/>
      <c r="G44" s="43"/>
      <c r="H44" s="43"/>
      <c r="I44" s="60"/>
    </row>
    <row r="48" spans="1:15" x14ac:dyDescent="0.25">
      <c r="J48" s="154" t="s">
        <v>4</v>
      </c>
      <c r="K48" s="154"/>
      <c r="L48" s="154"/>
      <c r="M48" s="154"/>
      <c r="N48" s="154"/>
      <c r="O48" s="154"/>
    </row>
    <row r="49" spans="10:15" x14ac:dyDescent="0.25">
      <c r="J49" s="155" t="s">
        <v>6</v>
      </c>
      <c r="K49" s="155"/>
      <c r="L49" s="155" t="s">
        <v>5</v>
      </c>
      <c r="M49" s="155"/>
      <c r="N49" s="155" t="s">
        <v>3</v>
      </c>
      <c r="O49" s="155"/>
    </row>
    <row r="50" spans="10:15" x14ac:dyDescent="0.25">
      <c r="J50" s="2" t="s">
        <v>22</v>
      </c>
      <c r="K50" s="5" t="s">
        <v>8</v>
      </c>
      <c r="L50" s="2" t="s">
        <v>18</v>
      </c>
      <c r="M50" s="5" t="s">
        <v>8</v>
      </c>
      <c r="N50" s="2" t="s">
        <v>7</v>
      </c>
      <c r="O50" s="5" t="s">
        <v>8</v>
      </c>
    </row>
    <row r="51" spans="10:15" ht="39.6" customHeight="1" x14ac:dyDescent="0.25">
      <c r="J51" s="3" t="s">
        <v>23</v>
      </c>
      <c r="K51" s="5" t="s">
        <v>10</v>
      </c>
      <c r="L51" s="2" t="s">
        <v>19</v>
      </c>
      <c r="M51" s="5" t="s">
        <v>12</v>
      </c>
      <c r="N51" s="2" t="s">
        <v>9</v>
      </c>
      <c r="O51" s="5" t="s">
        <v>10</v>
      </c>
    </row>
    <row r="52" spans="10:15" x14ac:dyDescent="0.25">
      <c r="J52" s="2" t="s">
        <v>24</v>
      </c>
      <c r="K52" s="5" t="s">
        <v>12</v>
      </c>
      <c r="L52" s="2" t="s">
        <v>20</v>
      </c>
      <c r="M52" s="5" t="s">
        <v>14</v>
      </c>
      <c r="N52" s="2" t="s">
        <v>11</v>
      </c>
      <c r="O52" s="5" t="s">
        <v>12</v>
      </c>
    </row>
    <row r="53" spans="10:15" x14ac:dyDescent="0.25">
      <c r="J53" s="2" t="s">
        <v>25</v>
      </c>
      <c r="K53" s="5" t="s">
        <v>14</v>
      </c>
      <c r="L53" s="2" t="s">
        <v>21</v>
      </c>
      <c r="M53" s="5" t="s">
        <v>16</v>
      </c>
      <c r="N53" s="2"/>
      <c r="O53" s="5"/>
    </row>
    <row r="54" spans="10:15" x14ac:dyDescent="0.25">
      <c r="J54" s="2" t="s">
        <v>26</v>
      </c>
      <c r="K54" s="5" t="s">
        <v>16</v>
      </c>
      <c r="L54" s="4"/>
      <c r="M54" s="6"/>
      <c r="N54" s="2"/>
      <c r="O54" s="5"/>
    </row>
    <row r="55" spans="10:15" x14ac:dyDescent="0.25">
      <c r="J55" s="2"/>
      <c r="K55" s="5"/>
      <c r="L55" s="4"/>
      <c r="M55" s="6"/>
      <c r="N55" s="2" t="s">
        <v>17</v>
      </c>
      <c r="O55" s="7">
        <v>0.5</v>
      </c>
    </row>
    <row r="56" spans="10:15" x14ac:dyDescent="0.25">
      <c r="J56" s="1"/>
      <c r="K56" s="1"/>
    </row>
    <row r="60" spans="10:15" x14ac:dyDescent="0.25">
      <c r="J60" s="75" t="s">
        <v>6</v>
      </c>
      <c r="K60" s="75" t="s">
        <v>5</v>
      </c>
      <c r="L60" s="75" t="s">
        <v>3</v>
      </c>
      <c r="M60" s="75"/>
      <c r="N60" s="75"/>
      <c r="O60" s="75"/>
    </row>
    <row r="61" spans="10:15" x14ac:dyDescent="0.25">
      <c r="J61" s="75" t="s">
        <v>282</v>
      </c>
      <c r="K61" s="75" t="s">
        <v>16</v>
      </c>
      <c r="L61" s="75" t="s">
        <v>217</v>
      </c>
      <c r="M61" s="75" t="s">
        <v>14</v>
      </c>
      <c r="N61" s="75" t="s">
        <v>7</v>
      </c>
      <c r="O61" s="75" t="s">
        <v>218</v>
      </c>
    </row>
    <row r="62" spans="10:15" x14ac:dyDescent="0.25">
      <c r="J62" s="75"/>
      <c r="K62" s="75"/>
      <c r="L62" s="75" t="s">
        <v>219</v>
      </c>
      <c r="M62" s="75" t="s">
        <v>220</v>
      </c>
      <c r="N62" s="75" t="s">
        <v>9</v>
      </c>
      <c r="O62" s="75" t="s">
        <v>14</v>
      </c>
    </row>
    <row r="63" spans="10:15" x14ac:dyDescent="0.25">
      <c r="J63" s="75"/>
      <c r="K63" s="75"/>
      <c r="L63" s="75"/>
      <c r="M63" s="75"/>
      <c r="N63" s="75" t="s">
        <v>11</v>
      </c>
      <c r="O63" s="75" t="s">
        <v>221</v>
      </c>
    </row>
    <row r="64" spans="10:15" x14ac:dyDescent="0.25">
      <c r="J64" s="75"/>
      <c r="K64" s="75"/>
      <c r="L64" s="75"/>
      <c r="M64" s="75"/>
      <c r="N64" s="75" t="s">
        <v>17</v>
      </c>
      <c r="O64" s="75">
        <v>0.5</v>
      </c>
    </row>
    <row r="65" spans="10:15" x14ac:dyDescent="0.25">
      <c r="J65" s="75"/>
      <c r="K65" s="75"/>
      <c r="L65" s="75"/>
      <c r="M65" s="75"/>
      <c r="N65" s="75"/>
      <c r="O65" s="75"/>
    </row>
  </sheetData>
  <autoFilter ref="A1:O1" xr:uid="{00000000-0009-0000-0000-000007000000}">
    <sortState ref="A2:O42">
      <sortCondition descending="1" ref="I1"/>
    </sortState>
  </autoFilter>
  <sortState ref="A2:O42">
    <sortCondition descending="1" ref="I2:I42"/>
  </sortState>
  <mergeCells count="4">
    <mergeCell ref="J48:O48"/>
    <mergeCell ref="J49:K49"/>
    <mergeCell ref="L49:M49"/>
    <mergeCell ref="N49:O49"/>
  </mergeCells>
  <conditionalFormatting sqref="B20">
    <cfRule type="duplicateValues" dxfId="9" priority="11" stopIfTrue="1"/>
  </conditionalFormatting>
  <conditionalFormatting sqref="B24">
    <cfRule type="duplicateValues" dxfId="8" priority="9" stopIfTrue="1"/>
  </conditionalFormatting>
  <conditionalFormatting sqref="B32:B36">
    <cfRule type="duplicateValues" dxfId="7" priority="6"/>
    <cfRule type="duplicateValues" dxfId="6" priority="7"/>
    <cfRule type="duplicateValues" dxfId="5" priority="8"/>
  </conditionalFormatting>
  <conditionalFormatting sqref="B40:B44">
    <cfRule type="duplicateValues" dxfId="4" priority="181" stopIfTrue="1"/>
    <cfRule type="duplicateValues" dxfId="3" priority="182" stopIfTrue="1"/>
  </conditionalFormatting>
  <conditionalFormatting sqref="B40:B44">
    <cfRule type="duplicateValues" dxfId="2" priority="185"/>
    <cfRule type="duplicateValues" dxfId="1" priority="186"/>
    <cfRule type="duplicateValues" dxfId="0" priority="187"/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инфо</vt:lpstr>
      <vt:lpstr>Senior Women 40-49</vt:lpstr>
      <vt:lpstr>Senior Women 30-39</vt:lpstr>
      <vt:lpstr>Senior Women 18-29</vt:lpstr>
      <vt:lpstr>Senior Men 18-39 </vt:lpstr>
      <vt:lpstr>Junior 15-17</vt:lpstr>
      <vt:lpstr>Novice 10-14</vt:lpstr>
      <vt:lpstr>Pre-Novice 5-9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Алсер</dc:creator>
  <cp:lastModifiedBy>HP</cp:lastModifiedBy>
  <dcterms:created xsi:type="dcterms:W3CDTF">2021-02-14T17:01:19Z</dcterms:created>
  <dcterms:modified xsi:type="dcterms:W3CDTF">2023-12-30T00:59:13Z</dcterms:modified>
</cp:coreProperties>
</file>